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" sheetId="1" r:id="rId4"/>
    <sheet state="visible" name="Format" sheetId="2" r:id="rId5"/>
  </sheets>
  <definedNames/>
  <calcPr/>
</workbook>
</file>

<file path=xl/sharedStrings.xml><?xml version="1.0" encoding="utf-8"?>
<sst xmlns="http://schemas.openxmlformats.org/spreadsheetml/2006/main" count="325" uniqueCount="151">
  <si>
    <t>Zurich Friendship Tournament 2024</t>
  </si>
  <si>
    <t>Group A</t>
  </si>
  <si>
    <t>Group B</t>
  </si>
  <si>
    <t>Group C</t>
  </si>
  <si>
    <t>Group D</t>
  </si>
  <si>
    <t>TWF</t>
  </si>
  <si>
    <t>Kanupolo Zürich</t>
  </si>
  <si>
    <t>Viking Venlo</t>
  </si>
  <si>
    <t>KCRJ</t>
  </si>
  <si>
    <t>Pro Scogli Chiavari</t>
  </si>
  <si>
    <t>RCN Castellón</t>
  </si>
  <si>
    <t>KRM Essen</t>
  </si>
  <si>
    <t>KSVH Berlin</t>
  </si>
  <si>
    <t>KGW Essen</t>
  </si>
  <si>
    <t>AKV Odysseus</t>
  </si>
  <si>
    <t>Kayak Polo Málaga</t>
  </si>
  <si>
    <t>Avranches</t>
  </si>
  <si>
    <t>Paris KPC</t>
  </si>
  <si>
    <t>Montpellier MCK</t>
  </si>
  <si>
    <t>Saturday, 03.02.2024</t>
  </si>
  <si>
    <t>Match</t>
  </si>
  <si>
    <t>Time</t>
  </si>
  <si>
    <t>Group</t>
  </si>
  <si>
    <t>Team 1</t>
  </si>
  <si>
    <t>Team 2</t>
  </si>
  <si>
    <t>Referee</t>
  </si>
  <si>
    <t>Group Stage</t>
  </si>
  <si>
    <t>Referee Occurences</t>
  </si>
  <si>
    <t>08:45</t>
  </si>
  <si>
    <t>A</t>
  </si>
  <si>
    <t>:</t>
  </si>
  <si>
    <t>Results</t>
  </si>
  <si>
    <t>09:15</t>
  </si>
  <si>
    <t>B</t>
  </si>
  <si>
    <t>Points</t>
  </si>
  <si>
    <t>GD</t>
  </si>
  <si>
    <t>Goals (+)</t>
  </si>
  <si>
    <t>Goals (-)</t>
  </si>
  <si>
    <t>Wins</t>
  </si>
  <si>
    <t>Losses</t>
  </si>
  <si>
    <t>Draws</t>
  </si>
  <si>
    <t>09:45</t>
  </si>
  <si>
    <t>C</t>
  </si>
  <si>
    <t>1.:</t>
  </si>
  <si>
    <t>10:15</t>
  </si>
  <si>
    <t>D</t>
  </si>
  <si>
    <t>2.:</t>
  </si>
  <si>
    <t>10:45</t>
  </si>
  <si>
    <t>3.:</t>
  </si>
  <si>
    <t>11:15</t>
  </si>
  <si>
    <t>11:45</t>
  </si>
  <si>
    <t>12:15</t>
  </si>
  <si>
    <t>12:45</t>
  </si>
  <si>
    <t>13:15</t>
  </si>
  <si>
    <t>13:45</t>
  </si>
  <si>
    <t>4.:</t>
  </si>
  <si>
    <t>14:15</t>
  </si>
  <si>
    <t>14:45</t>
  </si>
  <si>
    <t>15:15</t>
  </si>
  <si>
    <t>15:45</t>
  </si>
  <si>
    <t>16:15</t>
  </si>
  <si>
    <t>16:45</t>
  </si>
  <si>
    <t>17:15</t>
  </si>
  <si>
    <t>17:45</t>
  </si>
  <si>
    <t>E</t>
  </si>
  <si>
    <t>18:15</t>
  </si>
  <si>
    <t>F</t>
  </si>
  <si>
    <t>18:45</t>
  </si>
  <si>
    <t>G</t>
  </si>
  <si>
    <t>19:15</t>
  </si>
  <si>
    <t>X</t>
  </si>
  <si>
    <t>19:45</t>
  </si>
  <si>
    <t>Y</t>
  </si>
  <si>
    <t>20:15</t>
  </si>
  <si>
    <t>20:45</t>
  </si>
  <si>
    <t>Sunday 04.02.2024</t>
  </si>
  <si>
    <t>Lower Group Stage (9.-14.)</t>
  </si>
  <si>
    <t>07:00</t>
  </si>
  <si>
    <t>QF1</t>
  </si>
  <si>
    <t>07:30</t>
  </si>
  <si>
    <t>QF2</t>
  </si>
  <si>
    <t>08:00</t>
  </si>
  <si>
    <t>QF3</t>
  </si>
  <si>
    <t>08:30</t>
  </si>
  <si>
    <t>QF4</t>
  </si>
  <si>
    <t>09:00</t>
  </si>
  <si>
    <t>09:30</t>
  </si>
  <si>
    <t>10:00</t>
  </si>
  <si>
    <t>SF1</t>
  </si>
  <si>
    <t>10:30</t>
  </si>
  <si>
    <t>SF2</t>
  </si>
  <si>
    <t>11:00</t>
  </si>
  <si>
    <t>H2</t>
  </si>
  <si>
    <t>11:30</t>
  </si>
  <si>
    <t>H1</t>
  </si>
  <si>
    <t>12:00</t>
  </si>
  <si>
    <t>13. Place</t>
  </si>
  <si>
    <t>12:30</t>
  </si>
  <si>
    <t>11. Place</t>
  </si>
  <si>
    <t>13:00</t>
  </si>
  <si>
    <t>9. Place</t>
  </si>
  <si>
    <t>13:30</t>
  </si>
  <si>
    <t>7. Place</t>
  </si>
  <si>
    <t>14:00</t>
  </si>
  <si>
    <t>5. Place</t>
  </si>
  <si>
    <t>14:30</t>
  </si>
  <si>
    <t>3. Place</t>
  </si>
  <si>
    <t>15:00</t>
  </si>
  <si>
    <t>Final</t>
  </si>
  <si>
    <r>
      <rPr>
        <rFont val="Calibri"/>
        <b/>
        <color theme="1"/>
        <sz val="14.0"/>
      </rPr>
      <t xml:space="preserve">                                                                
</t>
    </r>
    <r>
      <rPr>
        <rFont val="Calibri"/>
        <b/>
        <color theme="1"/>
        <sz val="24.0"/>
      </rPr>
      <t>Tournament Format</t>
    </r>
  </si>
  <si>
    <t>&gt;&gt;</t>
  </si>
  <si>
    <t>Intermediate Stage</t>
  </si>
  <si>
    <t>Upper Bracket</t>
  </si>
  <si>
    <t>Match E</t>
  </si>
  <si>
    <t>1. A : 1. D</t>
  </si>
  <si>
    <t>1. B : Win. F</t>
  </si>
  <si>
    <t>Match F</t>
  </si>
  <si>
    <t>3. A	: 2. D</t>
  </si>
  <si>
    <t>1. C : Win. G</t>
  </si>
  <si>
    <t>Win. QF1 : Win QF2</t>
  </si>
  <si>
    <t>1. Place</t>
  </si>
  <si>
    <t>Match G</t>
  </si>
  <si>
    <t>Win SF1 : Win SF2</t>
  </si>
  <si>
    <t>2. A	: 3. D</t>
  </si>
  <si>
    <t>2. B : Los. E</t>
  </si>
  <si>
    <t>Win QF3 : Win QF4</t>
  </si>
  <si>
    <t>2. C : Win. E</t>
  </si>
  <si>
    <t>Los. SF1 : Los. SF2</t>
  </si>
  <si>
    <t>Match H1</t>
  </si>
  <si>
    <t>Los. QF1 : Los. QF2</t>
  </si>
  <si>
    <t xml:space="preserve">5. Place </t>
  </si>
  <si>
    <t>Match H2</t>
  </si>
  <si>
    <t>Win H1 : Win H2</t>
  </si>
  <si>
    <t xml:space="preserve">7. Place </t>
  </si>
  <si>
    <t>Los. H1 : Los. H2</t>
  </si>
  <si>
    <t>Lower Group</t>
  </si>
  <si>
    <t>Group X</t>
  </si>
  <si>
    <t xml:space="preserve">9. Place </t>
  </si>
  <si>
    <t>3. B</t>
  </si>
  <si>
    <t>4. C</t>
  </si>
  <si>
    <t>1. X : 1. Y</t>
  </si>
  <si>
    <t>Los. F</t>
  </si>
  <si>
    <t xml:space="preserve">11. Place </t>
  </si>
  <si>
    <t>Group Y</t>
  </si>
  <si>
    <t>2. X : 2. Y</t>
  </si>
  <si>
    <t>3. C</t>
  </si>
  <si>
    <t>4. B</t>
  </si>
  <si>
    <t xml:space="preserve">13. Place </t>
  </si>
  <si>
    <t>Los. G</t>
  </si>
  <si>
    <t>3. X : 3. Y</t>
  </si>
  <si>
    <t>All matches played outside a group (A,B,C,D,X,Y) are deciding games and cannot end in a draw. 
If a winner cannot be determined in regular time, consecutive 5 minute overtime periods will be played.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</si>
</sst>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2.0"/>
      <color rgb="FF000000"/>
      <name val="Calibri"/>
      <scheme val="minor"/>
    </font>
    <font>
      <b/>
      <sz val="12.0"/>
      <color theme="1"/>
      <name val="Calibri"/>
      <scheme val="minor"/>
    </font>
    <font>
      <b/>
      <sz val="24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i/>
      <sz val="8.0"/>
      <color theme="1"/>
      <name val="Calibri"/>
      <scheme val="minor"/>
    </font>
    <font/>
    <font>
      <sz val="12.0"/>
      <color theme="1"/>
      <name val="Calibri"/>
      <scheme val="minor"/>
    </font>
    <font>
      <b/>
      <sz val="14.0"/>
      <color theme="1"/>
      <name val="Calibri"/>
      <scheme val="minor"/>
    </font>
    <font>
      <sz val="11.0"/>
      <color theme="1"/>
      <name val="Calibri"/>
      <scheme val="minor"/>
    </font>
    <font>
      <b/>
      <sz val="11.0"/>
      <color theme="1"/>
      <name val="Calibri"/>
      <scheme val="minor"/>
    </font>
    <font>
      <b/>
      <sz val="14.0"/>
      <color theme="1"/>
      <name val="Arial"/>
    </font>
    <font>
      <i/>
      <sz val="12.0"/>
      <color theme="1"/>
      <name val="Arial"/>
    </font>
    <font>
      <b/>
      <i/>
      <sz val="12.0"/>
      <color rgb="FF000000"/>
      <name val="Arial"/>
    </font>
    <font>
      <b/>
      <i/>
      <sz val="12.0"/>
      <color theme="1"/>
      <name val="Arial"/>
    </font>
    <font>
      <b/>
      <i/>
      <color theme="1"/>
      <name val="Arial"/>
    </font>
    <font>
      <sz val="8.0"/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D966"/>
        <bgColor rgb="FFFFD966"/>
      </patternFill>
    </fill>
    <fill>
      <patternFill patternType="solid">
        <fgColor rgb="FFE8F0FE"/>
        <bgColor rgb="FFE8F0FE"/>
      </patternFill>
    </fill>
  </fills>
  <borders count="2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2" fillId="0" fontId="6" numFmtId="0" xfId="0" applyBorder="1" applyFont="1"/>
    <xf borderId="3" fillId="0" fontId="3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center" vertical="center"/>
    </xf>
    <xf borderId="5" fillId="0" fontId="6" numFmtId="0" xfId="0" applyBorder="1" applyFont="1"/>
    <xf borderId="6" fillId="0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8" fillId="0" fontId="6" numFmtId="0" xfId="0" applyBorder="1" applyFont="1"/>
    <xf borderId="9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center" vertical="center"/>
    </xf>
    <xf borderId="11" fillId="0" fontId="6" numFmtId="0" xfId="0" applyBorder="1" applyFont="1"/>
    <xf borderId="12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center" readingOrder="0" vertical="center"/>
    </xf>
    <xf borderId="1" fillId="0" fontId="8" numFmtId="0" xfId="0" applyAlignment="1" applyBorder="1" applyFont="1">
      <alignment horizontal="center" readingOrder="0" vertical="center"/>
    </xf>
    <xf borderId="13" fillId="0" fontId="6" numFmtId="0" xfId="0" applyBorder="1" applyFont="1"/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2" fontId="1" numFmtId="0" xfId="0" applyAlignment="1" applyFill="1" applyFont="1">
      <alignment horizontal="center" readingOrder="0" vertical="center"/>
    </xf>
    <xf borderId="4" fillId="3" fontId="1" numFmtId="0" xfId="0" applyAlignment="1" applyBorder="1" applyFill="1" applyFont="1">
      <alignment horizontal="center" readingOrder="0" vertical="center"/>
    </xf>
    <xf borderId="14" fillId="3" fontId="1" numFmtId="0" xfId="0" applyAlignment="1" applyBorder="1" applyFont="1">
      <alignment horizontal="center" readingOrder="0" vertical="center"/>
    </xf>
    <xf borderId="14" fillId="3" fontId="1" numFmtId="0" xfId="0" applyAlignment="1" applyBorder="1" applyFont="1">
      <alignment horizontal="center" vertical="center"/>
    </xf>
    <xf borderId="5" fillId="3" fontId="3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vertical="center"/>
    </xf>
    <xf borderId="0" fillId="0" fontId="7" numFmtId="0" xfId="0" applyAlignment="1" applyFont="1">
      <alignment horizontal="center" readingOrder="0" vertical="center"/>
    </xf>
    <xf borderId="4" fillId="0" fontId="7" numFmtId="0" xfId="0" applyAlignment="1" applyBorder="1" applyFont="1">
      <alignment horizontal="center" readingOrder="0" vertical="center"/>
    </xf>
    <xf borderId="14" fillId="0" fontId="7" numFmtId="0" xfId="0" applyAlignment="1" applyBorder="1" applyFont="1">
      <alignment horizontal="center" vertical="center"/>
    </xf>
    <xf borderId="14" fillId="0" fontId="7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readingOrder="0" vertical="center"/>
    </xf>
    <xf borderId="15" fillId="2" fontId="7" numFmtId="0" xfId="0" applyAlignment="1" applyBorder="1" applyFont="1">
      <alignment horizontal="center" vertical="center"/>
    </xf>
    <xf borderId="15" fillId="2" fontId="7" numFmtId="164" xfId="0" applyAlignment="1" applyBorder="1" applyFont="1" applyNumberFormat="1">
      <alignment horizontal="center" vertical="center"/>
    </xf>
    <xf borderId="0" fillId="2" fontId="7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7" fillId="0" fontId="7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center" readingOrder="0" vertical="center"/>
    </xf>
    <xf borderId="8" fillId="0" fontId="7" numFmtId="0" xfId="0" applyAlignment="1" applyBorder="1" applyFont="1">
      <alignment horizontal="center" vertical="center"/>
    </xf>
    <xf borderId="3" fillId="4" fontId="1" numFmtId="0" xfId="0" applyAlignment="1" applyBorder="1" applyFill="1" applyFont="1">
      <alignment horizontal="center" vertical="center"/>
    </xf>
    <xf borderId="16" fillId="4" fontId="7" numFmtId="0" xfId="0" applyAlignment="1" applyBorder="1" applyFont="1">
      <alignment horizontal="center" vertical="center"/>
    </xf>
    <xf borderId="16" fillId="4" fontId="7" numFmtId="0" xfId="0" applyAlignment="1" applyBorder="1" applyFont="1">
      <alignment horizontal="center" readingOrder="0" vertical="center"/>
    </xf>
    <xf borderId="2" fillId="4" fontId="7" numFmtId="0" xfId="0" applyAlignment="1" applyBorder="1" applyFont="1">
      <alignment horizontal="center" readingOrder="0" vertical="center"/>
    </xf>
    <xf borderId="8" fillId="0" fontId="7" numFmtId="0" xfId="0" applyAlignment="1" applyBorder="1" applyFont="1">
      <alignment horizontal="center" vertical="center"/>
    </xf>
    <xf borderId="8" fillId="5" fontId="1" numFmtId="0" xfId="0" applyAlignment="1" applyBorder="1" applyFill="1" applyFont="1">
      <alignment horizontal="center" readingOrder="0" vertical="center"/>
    </xf>
    <xf borderId="0" fillId="0" fontId="7" numFmtId="0" xfId="0" applyAlignment="1" applyFont="1">
      <alignment horizontal="center" vertical="center"/>
    </xf>
    <xf borderId="0" fillId="0" fontId="4" numFmtId="0" xfId="0" applyAlignment="1" applyFont="1">
      <alignment horizontal="center" readingOrder="0" vertical="center"/>
    </xf>
    <xf borderId="17" fillId="2" fontId="7" numFmtId="0" xfId="0" applyAlignment="1" applyBorder="1" applyFont="1">
      <alignment horizontal="center" vertical="center"/>
    </xf>
    <xf borderId="18" fillId="2" fontId="7" numFmtId="0" xfId="0" applyAlignment="1" applyBorder="1" applyFont="1">
      <alignment horizontal="center" vertical="center"/>
    </xf>
    <xf borderId="19" fillId="2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shrinkToFit="0" vertical="center" wrapText="0"/>
    </xf>
    <xf borderId="6" fillId="0" fontId="0" numFmtId="0" xfId="0" applyAlignment="1" applyBorder="1" applyFont="1">
      <alignment horizontal="center" vertical="center"/>
    </xf>
    <xf borderId="0" fillId="2" fontId="7" numFmtId="0" xfId="0" applyAlignment="1" applyFont="1">
      <alignment horizontal="center" vertical="center"/>
    </xf>
    <xf borderId="12" fillId="2" fontId="7" numFmtId="0" xfId="0" applyAlignment="1" applyBorder="1" applyFont="1">
      <alignment horizontal="center" vertical="center"/>
    </xf>
    <xf borderId="20" fillId="2" fontId="7" numFmtId="0" xfId="0" applyAlignment="1" applyBorder="1" applyFont="1">
      <alignment horizontal="center" vertical="center"/>
    </xf>
    <xf borderId="20" fillId="2" fontId="7" numFmtId="0" xfId="0" applyAlignment="1" applyBorder="1" applyFont="1">
      <alignment horizontal="center" readingOrder="0" vertical="center"/>
    </xf>
    <xf borderId="11" fillId="2" fontId="7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6" fillId="5" fontId="1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center" vertical="center"/>
    </xf>
    <xf borderId="19" fillId="0" fontId="7" numFmtId="0" xfId="0" applyAlignment="1" applyBorder="1" applyFont="1">
      <alignment horizontal="center" vertical="center"/>
    </xf>
    <xf borderId="3" fillId="0" fontId="7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readingOrder="0" vertical="center"/>
    </xf>
    <xf borderId="12" fillId="4" fontId="1" numFmtId="0" xfId="0" applyAlignment="1" applyBorder="1" applyFont="1">
      <alignment horizontal="center" vertical="center"/>
    </xf>
    <xf borderId="20" fillId="4" fontId="7" numFmtId="0" xfId="0" applyAlignment="1" applyBorder="1" applyFont="1">
      <alignment horizontal="center" vertical="center"/>
    </xf>
    <xf borderId="20" fillId="4" fontId="7" numFmtId="0" xfId="0" applyAlignment="1" applyBorder="1" applyFont="1">
      <alignment horizontal="center" readingOrder="0" vertical="center"/>
    </xf>
    <xf borderId="11" fillId="4" fontId="7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7" fillId="0" fontId="7" numFmtId="0" xfId="0" applyAlignment="1" applyBorder="1" applyFont="1">
      <alignment horizontal="center" vertical="center"/>
    </xf>
    <xf borderId="18" fillId="2" fontId="7" numFmtId="0" xfId="0" applyAlignment="1" applyBorder="1" applyFont="1">
      <alignment horizontal="center" readingOrder="0" vertical="center"/>
    </xf>
    <xf borderId="8" fillId="0" fontId="7" numFmtId="0" xfId="0" applyAlignment="1" applyBorder="1" applyFont="1">
      <alignment horizontal="center" readingOrder="0" vertical="center"/>
    </xf>
    <xf borderId="10" fillId="0" fontId="7" numFmtId="0" xfId="0" applyAlignment="1" applyBorder="1" applyFont="1">
      <alignment horizontal="center" readingOrder="0" vertical="center"/>
    </xf>
    <xf borderId="15" fillId="0" fontId="7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readingOrder="0" vertical="center"/>
    </xf>
    <xf borderId="11" fillId="0" fontId="7" numFmtId="0" xfId="0" applyAlignment="1" applyBorder="1" applyFont="1">
      <alignment horizontal="center" readingOrder="0" vertical="center"/>
    </xf>
    <xf borderId="5" fillId="6" fontId="4" numFmtId="0" xfId="0" applyAlignment="1" applyBorder="1" applyFill="1" applyFont="1">
      <alignment horizontal="center" readingOrder="0" vertical="center"/>
    </xf>
    <xf borderId="8" fillId="6" fontId="4" numFmtId="0" xfId="0" applyAlignment="1" applyBorder="1" applyFont="1">
      <alignment horizontal="center" readingOrder="0" vertical="center"/>
    </xf>
    <xf borderId="3" fillId="4" fontId="1" numFmtId="0" xfId="0" applyAlignment="1" applyBorder="1" applyFont="1">
      <alignment horizontal="center" readingOrder="0" vertical="center"/>
    </xf>
    <xf borderId="9" fillId="0" fontId="0" numFmtId="0" xfId="0" applyAlignment="1" applyBorder="1" applyFont="1">
      <alignment horizontal="center" vertical="center"/>
    </xf>
    <xf borderId="12" fillId="0" fontId="0" numFmtId="0" xfId="0" applyAlignment="1" applyBorder="1" applyFont="1">
      <alignment horizontal="center" vertical="center"/>
    </xf>
    <xf borderId="21" fillId="4" fontId="1" numFmtId="0" xfId="0" applyAlignment="1" applyBorder="1" applyFont="1">
      <alignment horizontal="center" readingOrder="0" vertical="center"/>
    </xf>
    <xf borderId="22" fillId="2" fontId="7" numFmtId="0" xfId="0" applyAlignment="1" applyBorder="1" applyFont="1">
      <alignment horizontal="center" vertical="center"/>
    </xf>
    <xf borderId="23" fillId="2" fontId="7" numFmtId="0" xfId="0" applyAlignment="1" applyBorder="1" applyFont="1">
      <alignment horizontal="center" vertical="center"/>
    </xf>
    <xf borderId="24" fillId="2" fontId="7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readingOrder="0" vertical="center"/>
    </xf>
    <xf borderId="0" fillId="0" fontId="11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4" fillId="7" fontId="12" numFmtId="0" xfId="0" applyAlignment="1" applyBorder="1" applyFill="1" applyFont="1">
      <alignment horizontal="center" readingOrder="0" vertical="center"/>
    </xf>
    <xf borderId="14" fillId="7" fontId="13" numFmtId="0" xfId="0" applyAlignment="1" applyBorder="1" applyFont="1">
      <alignment horizontal="center" readingOrder="0" vertical="center"/>
    </xf>
    <xf borderId="5" fillId="7" fontId="12" numFmtId="0" xfId="0" applyAlignment="1" applyBorder="1" applyFont="1">
      <alignment horizontal="center" readingOrder="0" vertical="center"/>
    </xf>
    <xf borderId="4" fillId="7" fontId="4" numFmtId="0" xfId="0" applyAlignment="1" applyBorder="1" applyFont="1">
      <alignment horizontal="center" vertical="center"/>
    </xf>
    <xf borderId="14" fillId="7" fontId="14" numFmtId="0" xfId="0" applyAlignment="1" applyBorder="1" applyFont="1">
      <alignment horizontal="center" readingOrder="0" vertical="center"/>
    </xf>
    <xf borderId="5" fillId="7" fontId="5" numFmtId="0" xfId="0" applyAlignment="1" applyBorder="1" applyFont="1">
      <alignment horizontal="center" readingOrder="0" vertical="center"/>
    </xf>
    <xf borderId="4" fillId="7" fontId="5" numFmtId="0" xfId="0" applyAlignment="1" applyBorder="1" applyFont="1">
      <alignment horizontal="center" readingOrder="0" vertical="center"/>
    </xf>
    <xf borderId="14" fillId="7" fontId="5" numFmtId="0" xfId="0" applyAlignment="1" applyBorder="1" applyFont="1">
      <alignment horizontal="center" readingOrder="0" vertical="center"/>
    </xf>
    <xf borderId="14" fillId="7" fontId="4" numFmtId="0" xfId="0" applyAlignment="1" applyBorder="1" applyFont="1">
      <alignment horizontal="center" vertical="center"/>
    </xf>
    <xf borderId="5" fillId="7" fontId="4" numFmtId="0" xfId="0" applyAlignment="1" applyBorder="1" applyFont="1">
      <alignment horizontal="center" vertical="center"/>
    </xf>
    <xf borderId="7" fillId="7" fontId="3" numFmtId="0" xfId="0" applyAlignment="1" applyBorder="1" applyFont="1">
      <alignment horizontal="center" readingOrder="0" vertical="center"/>
    </xf>
    <xf borderId="0" fillId="7" fontId="3" numFmtId="0" xfId="0" applyAlignment="1" applyFont="1">
      <alignment horizontal="center" readingOrder="0" vertical="center"/>
    </xf>
    <xf borderId="8" fillId="7" fontId="3" numFmtId="0" xfId="0" applyAlignment="1" applyBorder="1" applyFont="1">
      <alignment horizontal="center" readingOrder="0" vertical="center"/>
    </xf>
    <xf borderId="7" fillId="7" fontId="4" numFmtId="0" xfId="0" applyAlignment="1" applyBorder="1" applyFont="1">
      <alignment horizontal="center" vertical="center"/>
    </xf>
    <xf borderId="0" fillId="7" fontId="1" numFmtId="0" xfId="0" applyAlignment="1" applyFont="1">
      <alignment horizontal="center" readingOrder="0" vertical="center"/>
    </xf>
    <xf borderId="8" fillId="7" fontId="1" numFmtId="0" xfId="0" applyAlignment="1" applyBorder="1" applyFont="1">
      <alignment horizontal="center" readingOrder="0" vertical="center"/>
    </xf>
    <xf borderId="7" fillId="7" fontId="1" numFmtId="0" xfId="0" applyAlignment="1" applyBorder="1" applyFont="1">
      <alignment horizontal="center" readingOrder="0" vertical="center"/>
    </xf>
    <xf borderId="0" fillId="7" fontId="7" numFmtId="0" xfId="0" applyAlignment="1" applyFont="1">
      <alignment horizontal="center" vertical="center"/>
    </xf>
    <xf borderId="0" fillId="7" fontId="4" numFmtId="0" xfId="0" applyAlignment="1" applyFont="1">
      <alignment horizontal="center" vertical="center"/>
    </xf>
    <xf borderId="8" fillId="7" fontId="4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7" fillId="7" fontId="7" numFmtId="0" xfId="0" applyAlignment="1" applyBorder="1" applyFont="1">
      <alignment horizontal="center" vertical="center"/>
    </xf>
    <xf borderId="6" fillId="2" fontId="7" numFmtId="0" xfId="0" applyAlignment="1" applyBorder="1" applyFont="1">
      <alignment horizontal="center" vertical="center"/>
    </xf>
    <xf borderId="8" fillId="7" fontId="7" numFmtId="0" xfId="0" applyAlignment="1" applyBorder="1" applyFont="1">
      <alignment horizontal="center" vertical="center"/>
    </xf>
    <xf borderId="3" fillId="2" fontId="7" numFmtId="0" xfId="0" applyAlignment="1" applyBorder="1" applyFont="1">
      <alignment horizontal="center" readingOrder="0" vertical="center"/>
    </xf>
    <xf borderId="8" fillId="7" fontId="7" numFmtId="0" xfId="0" applyAlignment="1" applyBorder="1" applyFont="1">
      <alignment horizontal="center" readingOrder="0" vertical="center"/>
    </xf>
    <xf borderId="7" fillId="7" fontId="7" numFmtId="0" xfId="0" applyAlignment="1" applyBorder="1" applyFont="1">
      <alignment horizontal="center" readingOrder="0" vertical="center"/>
    </xf>
    <xf borderId="9" fillId="2" fontId="7" numFmtId="0" xfId="0" applyAlignment="1" applyBorder="1" applyFont="1">
      <alignment horizontal="center" vertical="center"/>
    </xf>
    <xf borderId="0" fillId="7" fontId="7" numFmtId="0" xfId="0" applyAlignment="1" applyFont="1">
      <alignment horizontal="center" readingOrder="0" vertical="center"/>
    </xf>
    <xf borderId="12" fillId="2" fontId="7" numFmtId="0" xfId="0" applyAlignment="1" applyBorder="1" applyFont="1">
      <alignment horizontal="center" vertical="center"/>
    </xf>
    <xf borderId="7" fillId="7" fontId="5" numFmtId="0" xfId="0" applyAlignment="1" applyBorder="1" applyFont="1">
      <alignment horizontal="center" readingOrder="0" vertical="center"/>
    </xf>
    <xf borderId="0" fillId="7" fontId="5" numFmtId="0" xfId="0" applyAlignment="1" applyFont="1">
      <alignment horizontal="center" readingOrder="0" vertical="center"/>
    </xf>
    <xf borderId="8" fillId="7" fontId="5" numFmtId="0" xfId="0" applyAlignment="1" applyBorder="1" applyFont="1">
      <alignment horizontal="center" readingOrder="0" vertical="center"/>
    </xf>
    <xf borderId="3" fillId="2" fontId="7" numFmtId="0" xfId="0" applyAlignment="1" applyBorder="1" applyFont="1">
      <alignment horizontal="center" readingOrder="0" vertical="center"/>
    </xf>
    <xf borderId="6" fillId="2" fontId="3" numFmtId="0" xfId="0" applyAlignment="1" applyBorder="1" applyFont="1">
      <alignment horizontal="center" readingOrder="0" vertical="center"/>
    </xf>
    <xf borderId="7" fillId="7" fontId="7" numFmtId="0" xfId="0" applyAlignment="1" applyBorder="1" applyFont="1">
      <alignment horizontal="center" vertical="center"/>
    </xf>
    <xf borderId="12" fillId="0" fontId="6" numFmtId="0" xfId="0" applyBorder="1" applyFont="1"/>
    <xf borderId="3" fillId="2" fontId="4" numFmtId="0" xfId="0" applyAlignment="1" applyBorder="1" applyFont="1">
      <alignment horizontal="center" readingOrder="0" vertical="center"/>
    </xf>
    <xf borderId="3" fillId="2" fontId="7" numFmtId="0" xfId="0" applyAlignment="1" applyBorder="1" applyFont="1">
      <alignment horizontal="center" readingOrder="0" vertical="center"/>
    </xf>
    <xf borderId="8" fillId="7" fontId="7" numFmtId="0" xfId="0" applyAlignment="1" applyBorder="1" applyFont="1">
      <alignment horizontal="center" readingOrder="0" vertical="center"/>
    </xf>
    <xf borderId="7" fillId="7" fontId="7" numFmtId="0" xfId="0" applyAlignment="1" applyBorder="1" applyFont="1">
      <alignment horizontal="center" readingOrder="0" vertical="center"/>
    </xf>
    <xf borderId="10" fillId="7" fontId="4" numFmtId="0" xfId="0" applyAlignment="1" applyBorder="1" applyFont="1">
      <alignment horizontal="center" vertical="center"/>
    </xf>
    <xf borderId="15" fillId="7" fontId="7" numFmtId="0" xfId="0" applyAlignment="1" applyBorder="1" applyFont="1">
      <alignment horizontal="center" vertical="center"/>
    </xf>
    <xf borderId="11" fillId="7" fontId="7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readingOrder="0" vertical="center"/>
    </xf>
    <xf borderId="0" fillId="2" fontId="4" numFmtId="0" xfId="0" applyAlignment="1" applyFont="1">
      <alignment horizontal="center" vertical="center"/>
    </xf>
    <xf borderId="10" fillId="7" fontId="7" numFmtId="0" xfId="0" applyAlignment="1" applyBorder="1" applyFont="1">
      <alignment horizontal="center" vertical="center"/>
    </xf>
    <xf borderId="15" fillId="7" fontId="7" numFmtId="0" xfId="0" applyAlignment="1" applyBorder="1" applyFont="1">
      <alignment horizontal="center" vertical="center"/>
    </xf>
    <xf borderId="11" fillId="7" fontId="7" numFmtId="0" xfId="0" applyAlignment="1" applyBorder="1" applyFont="1">
      <alignment horizontal="center" vertical="center"/>
    </xf>
    <xf borderId="15" fillId="7" fontId="4" numFmtId="0" xfId="0" applyAlignment="1" applyBorder="1" applyFont="1">
      <alignment horizontal="center" vertical="center"/>
    </xf>
    <xf borderId="11" fillId="7" fontId="4" numFmtId="0" xfId="0" applyAlignment="1" applyBorder="1" applyFont="1">
      <alignment horizontal="center" vertical="center"/>
    </xf>
    <xf borderId="14" fillId="7" fontId="15" numFmtId="0" xfId="0" applyAlignment="1" applyBorder="1" applyFont="1">
      <alignment horizontal="center" readingOrder="0" vertical="center"/>
    </xf>
    <xf borderId="9" fillId="2" fontId="4" numFmtId="0" xfId="0" applyAlignment="1" applyBorder="1" applyFont="1">
      <alignment horizontal="center" readingOrder="0" vertical="center"/>
    </xf>
    <xf borderId="12" fillId="2" fontId="4" numFmtId="0" xfId="0" applyAlignment="1" applyBorder="1" applyFont="1">
      <alignment horizontal="center" readingOrder="0" vertical="center"/>
    </xf>
    <xf borderId="10" fillId="7" fontId="8" numFmtId="0" xfId="0" applyAlignment="1" applyBorder="1" applyFont="1">
      <alignment horizontal="center" readingOrder="0" vertical="center"/>
    </xf>
    <xf borderId="15" fillId="7" fontId="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2">
    <tableStyle count="2" pivot="0" name="Schedule-style">
      <tableStyleElement dxfId="1" type="firstRowStripe"/>
      <tableStyleElement dxfId="2" type="secondRowStripe"/>
    </tableStyle>
    <tableStyle count="2" pivot="0" name="Schedule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619125" cy="4572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</xdr:row>
      <xdr:rowOff>0</xdr:rowOff>
    </xdr:from>
    <xdr:ext cx="619125" cy="9525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2:J36" displayName="Table_1" 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Schedule-style" showColumnStripes="0" showFirstColumn="1" showLastColumn="1" showRowStripes="1"/>
</table>
</file>

<file path=xl/tables/table2.xml><?xml version="1.0" encoding="utf-8"?>
<table xmlns="http://schemas.openxmlformats.org/spreadsheetml/2006/main" headerRowCount="0" ref="B40:J56" displayName="Table_2" name="Table_2" id="2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Schedule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4.11"/>
    <col customWidth="1" min="2" max="4" width="7.22"/>
    <col customWidth="1" min="5" max="5" width="14.33"/>
    <col customWidth="1" min="6" max="6" width="4.11"/>
    <col customWidth="1" min="7" max="7" width="1.0"/>
    <col customWidth="1" min="8" max="8" width="4.11"/>
    <col customWidth="1" min="9" max="9" width="14.33"/>
    <col customWidth="1" min="10" max="10" width="14.0"/>
    <col customWidth="1" min="11" max="11" width="4.11"/>
    <col customWidth="1" min="12" max="12" width="14.0"/>
    <col customWidth="1" min="13" max="13" width="5.33"/>
    <col customWidth="1" min="14" max="14" width="3.11"/>
    <col customWidth="1" min="15" max="15" width="7.22"/>
    <col customWidth="1" min="16" max="16" width="6.89"/>
    <col customWidth="1" min="17" max="17" width="4.56"/>
    <col customWidth="1" min="18" max="18" width="5.56"/>
    <col customWidth="1" min="19" max="19" width="5.44"/>
    <col customWidth="1" min="20" max="20" width="3.22"/>
    <col customWidth="1" min="21" max="21" width="3.0"/>
    <col customWidth="1" min="22" max="22" width="15.22"/>
  </cols>
  <sheetData>
    <row r="1" ht="93.0" customHeight="1">
      <c r="A1" s="1"/>
      <c r="B1" s="2"/>
      <c r="K1" s="3"/>
      <c r="L1" s="4"/>
      <c r="M1" s="4"/>
      <c r="N1" s="4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"/>
      <c r="B2" s="2" t="s">
        <v>0</v>
      </c>
      <c r="K2" s="3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5"/>
      <c r="B3" s="5"/>
      <c r="C3" s="6"/>
      <c r="D3" s="6"/>
      <c r="E3" s="6"/>
      <c r="F3" s="5"/>
      <c r="G3" s="5"/>
      <c r="H3" s="5"/>
      <c r="I3" s="6"/>
      <c r="J3" s="6"/>
      <c r="K3" s="3"/>
      <c r="L3" s="4"/>
      <c r="M3" s="4"/>
      <c r="N3" s="4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/>
      <c r="B4" s="5"/>
      <c r="C4" s="7" t="s">
        <v>1</v>
      </c>
      <c r="D4" s="8"/>
      <c r="E4" s="9" t="s">
        <v>2</v>
      </c>
      <c r="F4" s="5"/>
      <c r="G4" s="5"/>
      <c r="H4" s="5"/>
      <c r="I4" s="9" t="s">
        <v>3</v>
      </c>
      <c r="J4" s="9" t="s">
        <v>4</v>
      </c>
      <c r="K4" s="3"/>
      <c r="L4" s="4"/>
      <c r="M4" s="4"/>
      <c r="N4" s="4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5"/>
      <c r="B5" s="5"/>
      <c r="C5" s="10" t="s">
        <v>5</v>
      </c>
      <c r="D5" s="11"/>
      <c r="E5" s="12" t="s">
        <v>6</v>
      </c>
      <c r="F5" s="5"/>
      <c r="G5" s="5"/>
      <c r="H5" s="5"/>
      <c r="I5" s="12" t="s">
        <v>7</v>
      </c>
      <c r="J5" s="12" t="s">
        <v>8</v>
      </c>
      <c r="K5" s="3"/>
      <c r="L5" s="4"/>
      <c r="M5" s="4"/>
      <c r="N5" s="4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5"/>
      <c r="B6" s="5"/>
      <c r="C6" s="13" t="s">
        <v>9</v>
      </c>
      <c r="D6" s="14"/>
      <c r="E6" s="15" t="s">
        <v>10</v>
      </c>
      <c r="F6" s="5"/>
      <c r="G6" s="5"/>
      <c r="H6" s="5"/>
      <c r="I6" s="15" t="s">
        <v>11</v>
      </c>
      <c r="J6" s="15" t="s">
        <v>12</v>
      </c>
      <c r="K6" s="3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5"/>
      <c r="B7" s="5"/>
      <c r="C7" s="16" t="s">
        <v>13</v>
      </c>
      <c r="D7" s="17"/>
      <c r="E7" s="15" t="s">
        <v>14</v>
      </c>
      <c r="F7" s="5"/>
      <c r="G7" s="5"/>
      <c r="H7" s="5"/>
      <c r="I7" s="15" t="s">
        <v>15</v>
      </c>
      <c r="J7" s="18" t="s">
        <v>16</v>
      </c>
      <c r="K7" s="3"/>
      <c r="L7" s="4"/>
      <c r="M7" s="4"/>
      <c r="N7" s="4"/>
      <c r="O7" s="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5"/>
      <c r="B8" s="5"/>
      <c r="C8" s="5"/>
      <c r="D8" s="5"/>
      <c r="E8" s="18" t="s">
        <v>17</v>
      </c>
      <c r="F8" s="5"/>
      <c r="G8" s="5"/>
      <c r="H8" s="5"/>
      <c r="I8" s="18" t="s">
        <v>18</v>
      </c>
      <c r="J8" s="5"/>
      <c r="K8" s="3"/>
      <c r="L8" s="4"/>
      <c r="M8" s="4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3"/>
      <c r="L9" s="4"/>
      <c r="M9" s="4"/>
      <c r="N9" s="4"/>
      <c r="O9" s="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9"/>
      <c r="B10" s="20" t="s">
        <v>19</v>
      </c>
      <c r="C10" s="21"/>
      <c r="D10" s="21"/>
      <c r="E10" s="21"/>
      <c r="F10" s="21"/>
      <c r="G10" s="21"/>
      <c r="H10" s="21"/>
      <c r="I10" s="21"/>
      <c r="J10" s="8"/>
      <c r="K10" s="3"/>
      <c r="L10" s="22"/>
      <c r="M10" s="22"/>
      <c r="N10" s="22"/>
      <c r="O10" s="22"/>
      <c r="P10" s="23"/>
      <c r="Q10" s="23"/>
      <c r="R10" s="23"/>
      <c r="S10" s="23"/>
      <c r="T10" s="23"/>
      <c r="U10" s="23"/>
      <c r="V10" s="23"/>
      <c r="W10" s="3"/>
      <c r="X10" s="3"/>
      <c r="Y10" s="3"/>
      <c r="Z10" s="3"/>
      <c r="AA10" s="3"/>
    </row>
    <row r="11">
      <c r="A11" s="24"/>
      <c r="B11" s="25" t="s">
        <v>20</v>
      </c>
      <c r="C11" s="26" t="s">
        <v>21</v>
      </c>
      <c r="D11" s="27" t="s">
        <v>22</v>
      </c>
      <c r="E11" s="27" t="s">
        <v>23</v>
      </c>
      <c r="F11" s="27"/>
      <c r="G11" s="27"/>
      <c r="H11" s="27"/>
      <c r="I11" s="27" t="s">
        <v>24</v>
      </c>
      <c r="J11" s="28" t="s">
        <v>25</v>
      </c>
      <c r="K11" s="3"/>
      <c r="L11" s="29" t="s">
        <v>26</v>
      </c>
      <c r="W11" s="30"/>
      <c r="X11" s="6" t="s">
        <v>27</v>
      </c>
      <c r="Y11" s="3"/>
      <c r="Z11" s="3"/>
      <c r="AA11" s="3"/>
    </row>
    <row r="12">
      <c r="A12" s="31"/>
      <c r="B12" s="32">
        <v>1.0</v>
      </c>
      <c r="C12" s="33" t="s">
        <v>28</v>
      </c>
      <c r="D12" s="34" t="s">
        <v>29</v>
      </c>
      <c r="E12" s="33" t="str">
        <f>C6</f>
        <v>Pro Scogli Chiavari</v>
      </c>
      <c r="F12" s="34">
        <v>4.0</v>
      </c>
      <c r="G12" s="34" t="s">
        <v>30</v>
      </c>
      <c r="H12" s="34">
        <v>3.0</v>
      </c>
      <c r="I12" s="33" t="str">
        <f>C7</f>
        <v>KGW Essen</v>
      </c>
      <c r="J12" s="35" t="str">
        <f>J6</f>
        <v>KSVH Berlin</v>
      </c>
      <c r="K12" s="4"/>
      <c r="L12" s="36"/>
      <c r="M12" s="37"/>
      <c r="N12" s="36"/>
      <c r="O12" s="36"/>
      <c r="P12" s="36"/>
      <c r="Q12" s="36"/>
      <c r="R12" s="36"/>
      <c r="S12" s="36"/>
      <c r="T12" s="38"/>
      <c r="U12" s="38"/>
      <c r="V12" s="36" t="s">
        <v>31</v>
      </c>
      <c r="W12" s="39"/>
      <c r="X12" s="4"/>
      <c r="Y12" s="4"/>
      <c r="Z12" s="4"/>
      <c r="AA12" s="4"/>
    </row>
    <row r="13">
      <c r="A13" s="31"/>
      <c r="B13" s="40">
        <v>2.0</v>
      </c>
      <c r="C13" s="41" t="s">
        <v>32</v>
      </c>
      <c r="D13" s="42" t="s">
        <v>33</v>
      </c>
      <c r="E13" s="41" t="str">
        <f>E6</f>
        <v>RCN Castellón</v>
      </c>
      <c r="F13" s="42">
        <v>7.0</v>
      </c>
      <c r="G13" s="42" t="s">
        <v>30</v>
      </c>
      <c r="H13" s="42">
        <v>6.0</v>
      </c>
      <c r="I13" s="41" t="str">
        <f>E7</f>
        <v>AKV Odysseus</v>
      </c>
      <c r="J13" s="43" t="str">
        <f>I6</f>
        <v>KRM Essen</v>
      </c>
      <c r="K13" s="4"/>
      <c r="L13" s="44" t="s">
        <v>29</v>
      </c>
      <c r="M13" s="45" t="s">
        <v>34</v>
      </c>
      <c r="N13" s="46" t="s">
        <v>35</v>
      </c>
      <c r="O13" s="45" t="s">
        <v>36</v>
      </c>
      <c r="P13" s="45" t="s">
        <v>37</v>
      </c>
      <c r="Q13" s="46" t="s">
        <v>38</v>
      </c>
      <c r="R13" s="46" t="s">
        <v>39</v>
      </c>
      <c r="S13" s="47" t="s">
        <v>40</v>
      </c>
      <c r="T13" s="39"/>
      <c r="U13" s="48"/>
      <c r="V13" s="49" t="s">
        <v>29</v>
      </c>
      <c r="W13" s="39"/>
      <c r="X13" s="50" t="s">
        <v>5</v>
      </c>
      <c r="Y13" s="50">
        <f>COUNTIF(J12:J36, X13) + countif(J40:J56, X13)</f>
        <v>3</v>
      </c>
      <c r="Z13" s="51">
        <f t="shared" ref="Z13:Z20" si="1">rand()</f>
        <v>0.490287248</v>
      </c>
      <c r="AA13" s="4"/>
    </row>
    <row r="14">
      <c r="A14" s="31"/>
      <c r="B14" s="40">
        <v>3.0</v>
      </c>
      <c r="C14" s="41" t="s">
        <v>41</v>
      </c>
      <c r="D14" s="42" t="s">
        <v>42</v>
      </c>
      <c r="E14" s="41" t="str">
        <f>I5</f>
        <v>Viking Venlo</v>
      </c>
      <c r="F14" s="42">
        <v>1.0</v>
      </c>
      <c r="G14" s="42" t="s">
        <v>30</v>
      </c>
      <c r="H14" s="42">
        <v>2.0</v>
      </c>
      <c r="I14" s="41" t="str">
        <f>I8</f>
        <v>Montpellier MCK</v>
      </c>
      <c r="J14" s="43" t="str">
        <f>E5</f>
        <v>Kanupolo Zürich</v>
      </c>
      <c r="K14" s="4"/>
      <c r="L14" s="52" t="str">
        <f t="shared" ref="L14:L16" si="2">C5</f>
        <v>TWF</v>
      </c>
      <c r="M14" s="53">
        <f t="shared" ref="M14:M16" si="3">Q14*3+S14*1</f>
        <v>2</v>
      </c>
      <c r="N14" s="53">
        <f t="shared" ref="N14:N16" si="4">O14-P14</f>
        <v>0</v>
      </c>
      <c r="O14" s="53">
        <f>SUM(H18,F24)</f>
        <v>8</v>
      </c>
      <c r="P14" s="53">
        <f>SUM(F18,H24)</f>
        <v>8</v>
      </c>
      <c r="Q14" s="53">
        <f>IF($H$18&gt;$F$18,1,0)+IF($F$24&gt;$H$24,1,0)</f>
        <v>0</v>
      </c>
      <c r="R14" s="53">
        <f>IF($H$18&lt;$F$18,1,0)+IF($F$24&lt;$H$24,1,0)</f>
        <v>0</v>
      </c>
      <c r="S14" s="54">
        <f>IF(ISNUMBER($H$18)=TRUE,IF($H$18=$F$18,1,0),0)+IF(ISNUMBER($H$24)=TRUE,IF($F$24=$H$24,1,0))</f>
        <v>2</v>
      </c>
      <c r="T14" s="39"/>
      <c r="U14" s="55" t="s">
        <v>43</v>
      </c>
      <c r="V14" s="56" t="str">
        <f t="array" ref="V14">IF(ISNUMBER($F$24)=TRUE,INDEX($L$14:$L$16, MATCH(LARGE($M$14:$M$16 + ($N$14:$N$16)/100 + ($O$14:$O$16)/1000, ROWS($AA$1:AA1)), $M$14:$M$16 + ($N$14:$N$16)/100 + ($O$14:$O$16)/1000, 0)), "1. A")</f>
        <v>Pro Scogli Chiavari</v>
      </c>
      <c r="W14" s="39"/>
      <c r="X14" s="50" t="s">
        <v>9</v>
      </c>
      <c r="Y14" s="50">
        <f>COUNTIF(J12:J36, X14) + countif(J40:J56, X14)</f>
        <v>3</v>
      </c>
      <c r="Z14" s="51">
        <f t="shared" si="1"/>
        <v>0.2871948643</v>
      </c>
      <c r="AA14" s="4"/>
    </row>
    <row r="15">
      <c r="A15" s="31"/>
      <c r="B15" s="40">
        <v>4.0</v>
      </c>
      <c r="C15" s="41" t="s">
        <v>44</v>
      </c>
      <c r="D15" s="42" t="s">
        <v>45</v>
      </c>
      <c r="E15" s="41" t="str">
        <f>J6</f>
        <v>KSVH Berlin</v>
      </c>
      <c r="F15" s="42">
        <v>3.0</v>
      </c>
      <c r="G15" s="42" t="s">
        <v>30</v>
      </c>
      <c r="H15" s="42">
        <v>4.0</v>
      </c>
      <c r="I15" s="41" t="str">
        <f>J7</f>
        <v>Avranches</v>
      </c>
      <c r="J15" s="43" t="str">
        <f>C6</f>
        <v>Pro Scogli Chiavari</v>
      </c>
      <c r="K15" s="4"/>
      <c r="L15" s="52" t="str">
        <f t="shared" si="2"/>
        <v>Pro Scogli Chiavari</v>
      </c>
      <c r="M15" s="53">
        <f t="shared" si="3"/>
        <v>4</v>
      </c>
      <c r="N15" s="53">
        <f t="shared" si="4"/>
        <v>1</v>
      </c>
      <c r="O15" s="53">
        <f>SUM(F12,H24)</f>
        <v>8</v>
      </c>
      <c r="P15" s="53">
        <f>SUM(H12,F24)</f>
        <v>7</v>
      </c>
      <c r="Q15" s="53">
        <f>IF($F$12&gt;$H$12,1,0)+IF($F$24&lt;$H$24,1,0)</f>
        <v>1</v>
      </c>
      <c r="R15" s="53">
        <f>IF($F$12&lt;$H$12,1,0)+IF($H$24&lt;$F$24,1,0)</f>
        <v>0</v>
      </c>
      <c r="S15" s="54">
        <f>IF(ISNUMBER($F$12)=TRUE,IF($F$12=$H$12,1,0),0)+IF(ISNUMBER($H$24)=TRUE,IF($H$24=$F$24,1,0))</f>
        <v>1</v>
      </c>
      <c r="T15" s="39"/>
      <c r="U15" s="55" t="s">
        <v>46</v>
      </c>
      <c r="V15" s="56" t="str">
        <f t="array" ref="V15">IF(ISNUMBER($F$24)=TRUE,INDEX($L$14:$L$16, MATCH(LARGE($M$14:$M$16 + ($N$14:$N$16)/100 + ($O$14:$O$16)/1000, ROWS($AA$1:AA2)), $M$14:$M$16 + ($N$14:$N$16)/100 + ($O$14:$O$16)/1000, 0)), "2. A")</f>
        <v>TWF</v>
      </c>
      <c r="W15" s="39"/>
      <c r="X15" s="50" t="s">
        <v>13</v>
      </c>
      <c r="Y15" s="50">
        <f>COUNTIF(J12:J36, X15) + countif(J40:J56, X15)</f>
        <v>2</v>
      </c>
      <c r="Z15" s="51">
        <f t="shared" si="1"/>
        <v>0.4329480225</v>
      </c>
      <c r="AA15" s="4"/>
    </row>
    <row r="16">
      <c r="A16" s="31"/>
      <c r="B16" s="40">
        <v>5.0</v>
      </c>
      <c r="C16" s="41" t="s">
        <v>47</v>
      </c>
      <c r="D16" s="42" t="s">
        <v>33</v>
      </c>
      <c r="E16" s="57" t="str">
        <f>E5</f>
        <v>Kanupolo Zürich</v>
      </c>
      <c r="F16" s="42">
        <v>1.0</v>
      </c>
      <c r="G16" s="42" t="s">
        <v>30</v>
      </c>
      <c r="H16" s="42">
        <v>3.0</v>
      </c>
      <c r="I16" s="41" t="str">
        <f>E8</f>
        <v>Paris KPC</v>
      </c>
      <c r="J16" s="43" t="str">
        <f>I5</f>
        <v>Viking Venlo</v>
      </c>
      <c r="K16" s="4"/>
      <c r="L16" s="58" t="str">
        <f t="shared" si="2"/>
        <v>KGW Essen</v>
      </c>
      <c r="M16" s="59">
        <f t="shared" si="3"/>
        <v>1</v>
      </c>
      <c r="N16" s="59">
        <f t="shared" si="4"/>
        <v>-1</v>
      </c>
      <c r="O16" s="59">
        <f>SUM(H12,F18)</f>
        <v>7</v>
      </c>
      <c r="P16" s="59">
        <f>SUM(F12,H18)</f>
        <v>8</v>
      </c>
      <c r="Q16" s="59">
        <f>IF($F$12&lt;$H$12,1,0)+IF($F$18&gt;$H$18,1,0)</f>
        <v>0</v>
      </c>
      <c r="R16" s="60">
        <f>IF($H$12&lt;$F$12,1,0)+IF($F$18&lt;$H$18,1,0)</f>
        <v>1</v>
      </c>
      <c r="S16" s="61">
        <f>IF(ISNUMBER($F$12)=TRUE,IF($F$12=$H$12,1,0),0)+IF(ISNUMBER($H$18)=TRUE,IF($H$18=$F$18,1,0))</f>
        <v>1</v>
      </c>
      <c r="T16" s="38"/>
      <c r="U16" s="55" t="s">
        <v>48</v>
      </c>
      <c r="V16" s="62" t="str">
        <f t="array" ref="V16">IF(ISNUMBER($F$24)=TRUE,INDEX($L$14:$L$16, MATCH(LARGE($M$14:$M$16 + ($N$14:$N$16)/100 + ($O$14:$O$16)/1000, ROWS($AA$1:AA3)), $M$14:$M$16 + ($N$14:$N$16)/100 + ($O$14:$O$16)/1000, 0)), "3. A")</f>
        <v>KGW Essen</v>
      </c>
      <c r="W16" s="39"/>
      <c r="X16" s="50" t="s">
        <v>6</v>
      </c>
      <c r="Y16" s="50">
        <f>COUNTIF(J12:J36, X16) + countif(J40:J56, X16)</f>
        <v>3</v>
      </c>
      <c r="Z16" s="51">
        <f t="shared" si="1"/>
        <v>0.5026079373</v>
      </c>
      <c r="AA16" s="4"/>
    </row>
    <row r="17">
      <c r="A17" s="31"/>
      <c r="B17" s="40">
        <v>6.0</v>
      </c>
      <c r="C17" s="41" t="s">
        <v>49</v>
      </c>
      <c r="D17" s="42" t="s">
        <v>42</v>
      </c>
      <c r="E17" s="41" t="str">
        <f>I6</f>
        <v>KRM Essen</v>
      </c>
      <c r="F17" s="42">
        <v>3.0</v>
      </c>
      <c r="G17" s="42" t="s">
        <v>30</v>
      </c>
      <c r="H17" s="42">
        <v>5.0</v>
      </c>
      <c r="I17" s="41" t="str">
        <f>I7</f>
        <v>Kayak Polo Málaga</v>
      </c>
      <c r="J17" s="43" t="str">
        <f>E6</f>
        <v>RCN Castellón</v>
      </c>
      <c r="K17" s="4"/>
      <c r="L17" s="36"/>
      <c r="M17" s="37"/>
      <c r="N17" s="36"/>
      <c r="O17" s="36"/>
      <c r="P17" s="36"/>
      <c r="Q17" s="36"/>
      <c r="R17" s="36"/>
      <c r="S17" s="36"/>
      <c r="T17" s="38"/>
      <c r="U17" s="38"/>
      <c r="V17" s="63"/>
      <c r="W17" s="39"/>
      <c r="X17" s="50" t="s">
        <v>10</v>
      </c>
      <c r="Y17" s="50">
        <f>COUNTIF(J12:J36, X17) + countif(J40:J56, X17)</f>
        <v>3</v>
      </c>
      <c r="Z17" s="51">
        <f t="shared" si="1"/>
        <v>0.8300382116</v>
      </c>
      <c r="AA17" s="4"/>
    </row>
    <row r="18">
      <c r="A18" s="31"/>
      <c r="B18" s="40">
        <v>7.0</v>
      </c>
      <c r="C18" s="41" t="s">
        <v>50</v>
      </c>
      <c r="D18" s="42" t="s">
        <v>29</v>
      </c>
      <c r="E18" s="41" t="str">
        <f>C7</f>
        <v>KGW Essen</v>
      </c>
      <c r="F18" s="42">
        <v>4.0</v>
      </c>
      <c r="G18" s="42" t="s">
        <v>30</v>
      </c>
      <c r="H18" s="42">
        <v>4.0</v>
      </c>
      <c r="I18" s="41" t="str">
        <f>C5</f>
        <v>TWF</v>
      </c>
      <c r="J18" s="43" t="str">
        <f>J7</f>
        <v>Avranches</v>
      </c>
      <c r="K18" s="4"/>
      <c r="L18" s="44" t="s">
        <v>33</v>
      </c>
      <c r="M18" s="45" t="s">
        <v>34</v>
      </c>
      <c r="N18" s="46" t="s">
        <v>35</v>
      </c>
      <c r="O18" s="45" t="s">
        <v>36</v>
      </c>
      <c r="P18" s="45" t="s">
        <v>37</v>
      </c>
      <c r="Q18" s="46" t="s">
        <v>38</v>
      </c>
      <c r="R18" s="46" t="s">
        <v>39</v>
      </c>
      <c r="S18" s="47" t="s">
        <v>40</v>
      </c>
      <c r="T18" s="38"/>
      <c r="U18" s="48"/>
      <c r="V18" s="64" t="s">
        <v>33</v>
      </c>
      <c r="W18" s="39"/>
      <c r="X18" s="50" t="s">
        <v>14</v>
      </c>
      <c r="Y18" s="50">
        <f>COUNTIF(J12:J36, X18) + countif(J40:J56, X18)</f>
        <v>3</v>
      </c>
      <c r="Z18" s="51">
        <f t="shared" si="1"/>
        <v>0.5168326455</v>
      </c>
      <c r="AA18" s="4"/>
    </row>
    <row r="19">
      <c r="A19" s="31"/>
      <c r="B19" s="40">
        <v>8.0</v>
      </c>
      <c r="C19" s="41" t="s">
        <v>51</v>
      </c>
      <c r="D19" s="42" t="s">
        <v>33</v>
      </c>
      <c r="E19" s="57" t="str">
        <f>E5</f>
        <v>Kanupolo Zürich</v>
      </c>
      <c r="F19" s="42">
        <v>4.0</v>
      </c>
      <c r="G19" s="42" t="s">
        <v>30</v>
      </c>
      <c r="H19" s="42">
        <v>6.0</v>
      </c>
      <c r="I19" s="41" t="str">
        <f>E7</f>
        <v>AKV Odysseus</v>
      </c>
      <c r="J19" s="43" t="str">
        <f>I7</f>
        <v>Kayak Polo Málaga</v>
      </c>
      <c r="K19" s="4"/>
      <c r="L19" s="52" t="str">
        <f t="shared" ref="L19:L22" si="5">E5</f>
        <v>Kanupolo Zürich</v>
      </c>
      <c r="M19" s="53">
        <f t="shared" ref="M19:M22" si="6">Q19*3+S19*1</f>
        <v>0</v>
      </c>
      <c r="N19" s="53">
        <f t="shared" ref="N19:N22" si="7">O19-P19</f>
        <v>-9</v>
      </c>
      <c r="O19" s="53">
        <f>SUM(F16,F19,H28)</f>
        <v>9</v>
      </c>
      <c r="P19" s="53">
        <f>SUM(H16,H19,F28)</f>
        <v>18</v>
      </c>
      <c r="Q19" s="53">
        <f>IF($F16&gt;$H16,1,0)+IF($F19&gt;$H19,1,0)+IF($H28&gt;$F28,1,0)</f>
        <v>0</v>
      </c>
      <c r="R19" s="53">
        <f>IF($F16&lt;$H16,1,0)+IF($F19&lt;$H19,1,0)+IF($H28&lt;$F28,1,0)</f>
        <v>3</v>
      </c>
      <c r="S19" s="54">
        <f>IF(ISNUMBER($F16)=TRUE,IF($F16=$H16,1,0),0)+IF(ISNUMBER(F$19)=TRUE,IF($F19=$H19,1,0),0)+IF(ISNUMBER(F$28)=TRUE,IF($F28=$H28,1,0))</f>
        <v>0</v>
      </c>
      <c r="T19" s="38"/>
      <c r="U19" s="55" t="s">
        <v>43</v>
      </c>
      <c r="V19" s="65" t="str">
        <f t="array" ref="V19">IF(ISNUMBER($F$28)=TRUE,INDEX($L$19:$L$22, MATCH(LARGE($M$19:$M$22 + ($N$19:$N$22)/100 + ($O$19:$O$22)/1000, ROWS($AA$1:AA1)), $M$19:$M$22 + ($N$19:$N$22)/100 + ($O$19:$O$22)/1000, 0)), "1. B")</f>
        <v>Paris KPC</v>
      </c>
      <c r="W19" s="39"/>
      <c r="X19" s="50" t="s">
        <v>17</v>
      </c>
      <c r="Y19" s="50">
        <f>COUNTIF(J12:J36, X19) + countif(J40:J56, X19)</f>
        <v>3</v>
      </c>
      <c r="Z19" s="51">
        <f t="shared" si="1"/>
        <v>0.8188876126</v>
      </c>
      <c r="AA19" s="4"/>
    </row>
    <row r="20">
      <c r="A20" s="31"/>
      <c r="B20" s="40">
        <v>9.0</v>
      </c>
      <c r="C20" s="41" t="s">
        <v>52</v>
      </c>
      <c r="D20" s="42" t="s">
        <v>42</v>
      </c>
      <c r="E20" s="41" t="str">
        <f>I8</f>
        <v>Montpellier MCK</v>
      </c>
      <c r="F20" s="42">
        <v>3.0</v>
      </c>
      <c r="G20" s="42" t="s">
        <v>30</v>
      </c>
      <c r="H20" s="42">
        <v>4.0</v>
      </c>
      <c r="I20" s="41" t="str">
        <f>I6</f>
        <v>KRM Essen</v>
      </c>
      <c r="J20" s="43" t="str">
        <f>E8</f>
        <v>Paris KPC</v>
      </c>
      <c r="K20" s="4"/>
      <c r="L20" s="52" t="str">
        <f t="shared" si="5"/>
        <v>RCN Castellón</v>
      </c>
      <c r="M20" s="53">
        <f t="shared" si="6"/>
        <v>6</v>
      </c>
      <c r="N20" s="53">
        <f t="shared" si="7"/>
        <v>1</v>
      </c>
      <c r="O20" s="53">
        <f>SUM(F13,H22,F28)</f>
        <v>17</v>
      </c>
      <c r="P20" s="53">
        <f>SUM(H13,H28,F22)</f>
        <v>16</v>
      </c>
      <c r="Q20" s="53">
        <f>IF($F13&gt;$H13,1,0)+IF($F28&gt;$H28,1,0)+IF($H22&gt;$F22,1,0)</f>
        <v>2</v>
      </c>
      <c r="R20" s="53">
        <f>IF($F13&lt;$H13,1,0)+IF($F28&lt;$H28,1,0)+IF($H22&lt;$F22,1,0)</f>
        <v>1</v>
      </c>
      <c r="S20" s="54">
        <f>IF(ISNUMBER($F13)=TRUE,IF($F13=$H13,1,0),0)+IF(ISNUMBER(F$28)=TRUE,IF($F28=$H28,1,0),0)+IF(ISNUMBER(F$22)=TRUE,IF($F22=$H22,1,0))</f>
        <v>0</v>
      </c>
      <c r="T20" s="38"/>
      <c r="U20" s="55" t="s">
        <v>46</v>
      </c>
      <c r="V20" s="65" t="str">
        <f t="array" ref="V20">IF(ISNUMBER($F$28)=TRUE,INDEX($L$19:$L$22, MATCH(LARGE($M$19:$M$22 + ($N$19:$N$22)/100 + ($O$19:$O$22)/1000, ROWS($AA$1:AA2)), $M$19:$M$22 + ($N$19:$N$22)/100 + ($O$19:$O$22)/1000, 0)), "2. B")</f>
        <v>AKV Odysseus</v>
      </c>
      <c r="W20" s="39"/>
      <c r="X20" s="50" t="s">
        <v>7</v>
      </c>
      <c r="Y20" s="50">
        <f>COUNTIF(J12:J36, X20) + countif(J40:J56, X20)</f>
        <v>3</v>
      </c>
      <c r="Z20" s="51">
        <f t="shared" si="1"/>
        <v>0.5427060839</v>
      </c>
      <c r="AA20" s="4"/>
    </row>
    <row r="21">
      <c r="A21" s="31"/>
      <c r="B21" s="40">
        <v>10.0</v>
      </c>
      <c r="C21" s="41" t="s">
        <v>53</v>
      </c>
      <c r="D21" s="42" t="s">
        <v>45</v>
      </c>
      <c r="E21" s="41" t="str">
        <f>J7</f>
        <v>Avranches</v>
      </c>
      <c r="F21" s="42">
        <v>6.0</v>
      </c>
      <c r="G21" s="42" t="s">
        <v>30</v>
      </c>
      <c r="H21" s="42">
        <v>2.0</v>
      </c>
      <c r="I21" s="41" t="str">
        <f>J5</f>
        <v>KCRJ</v>
      </c>
      <c r="J21" s="43" t="str">
        <f>C7</f>
        <v>KGW Essen</v>
      </c>
      <c r="K21" s="4"/>
      <c r="L21" s="52" t="str">
        <f t="shared" si="5"/>
        <v>AKV Odysseus</v>
      </c>
      <c r="M21" s="53">
        <f t="shared" si="6"/>
        <v>6</v>
      </c>
      <c r="N21" s="53">
        <f t="shared" si="7"/>
        <v>2</v>
      </c>
      <c r="O21" s="53">
        <f>SUM(H13,H19,F25)</f>
        <v>15</v>
      </c>
      <c r="P21" s="53">
        <f>SUM(F13,F19,H25)</f>
        <v>13</v>
      </c>
      <c r="Q21" s="53">
        <f>IF($H13&gt;$F13,1,0)+IF($H19&gt;$F19,1,0)+IF($F25&gt;$H25,1,0)</f>
        <v>2</v>
      </c>
      <c r="R21" s="53">
        <f>IF($H13&lt;$F13,1,0)+IF($H19&lt;$F19,1,0)+IF($F25&lt;$H25,1,0)</f>
        <v>1</v>
      </c>
      <c r="S21" s="66">
        <f>IF(ISNUMBER($F13)=TRUE,IF($F13=$H13,1,0),0)+IF(ISNUMBER(F$19)=TRUE,IF($F19=$H19,1,0),0)+IF(ISNUMBER(F$25)=TRUE,IF($F25=$H25,1,0))</f>
        <v>0</v>
      </c>
      <c r="T21" s="38"/>
      <c r="U21" s="55" t="s">
        <v>48</v>
      </c>
      <c r="V21" s="65" t="str">
        <f t="array" ref="V21">IF(ISNUMBER($F$28)=TRUE,INDEX($L$19:$L$22, MATCH(LARGE($M$19:$M$22 + ($N$19:$N$22)/100 + ($O$19:$O$22)/1000, ROWS($AA$1:AA3)), $M$19:$M$22 + ($N$19:$N$22)/100 + ($O$19:$O$22)/1000, 0)), "3. B")</f>
        <v>RCN Castellón</v>
      </c>
      <c r="W21" s="39"/>
      <c r="X21" s="50" t="s">
        <v>11</v>
      </c>
      <c r="Y21" s="50">
        <f>COUNTIF(J12:J36, X21) + countif(J40:J56, X21)</f>
        <v>4</v>
      </c>
      <c r="Z21" s="51"/>
      <c r="AA21" s="4"/>
    </row>
    <row r="22">
      <c r="A22" s="31"/>
      <c r="B22" s="40">
        <v>11.0</v>
      </c>
      <c r="C22" s="41" t="s">
        <v>54</v>
      </c>
      <c r="D22" s="42" t="s">
        <v>33</v>
      </c>
      <c r="E22" s="41" t="str">
        <f>E8</f>
        <v>Paris KPC</v>
      </c>
      <c r="F22" s="42">
        <v>6.0</v>
      </c>
      <c r="G22" s="42" t="s">
        <v>30</v>
      </c>
      <c r="H22" s="42">
        <v>1.0</v>
      </c>
      <c r="I22" s="41" t="str">
        <f>E6</f>
        <v>RCN Castellón</v>
      </c>
      <c r="J22" s="43" t="str">
        <f>I8</f>
        <v>Montpellier MCK</v>
      </c>
      <c r="K22" s="4"/>
      <c r="L22" s="58" t="str">
        <f t="shared" si="5"/>
        <v>Paris KPC</v>
      </c>
      <c r="M22" s="59">
        <f t="shared" si="6"/>
        <v>6</v>
      </c>
      <c r="N22" s="59">
        <f t="shared" si="7"/>
        <v>6</v>
      </c>
      <c r="O22" s="59">
        <f>SUM(H16,F22,H25)</f>
        <v>11</v>
      </c>
      <c r="P22" s="59">
        <f>SUM(F16,H22,F25)</f>
        <v>5</v>
      </c>
      <c r="Q22" s="59">
        <f>IF($H16&gt;$F16,1,0)+IF($F22&gt;$H22,1,0)+IF($H25&gt;$F25,1,0)</f>
        <v>2</v>
      </c>
      <c r="R22" s="59">
        <f>IF($H16&lt;$F16,1,0)+IF($F22&lt;$H22,1,0)+IF($H25&lt;$F25,1,0)</f>
        <v>1</v>
      </c>
      <c r="S22" s="61">
        <f>IF(ISNUMBER($F16)=TRUE,IF($F16=$H16,1,0),0)+IF(ISNUMBER(F$22)=TRUE,IF($F22=$H22,1,0),0)+IF(ISNUMBER(F$25)=TRUE,IF($F25=$H25,1,0))</f>
        <v>0</v>
      </c>
      <c r="T22" s="38"/>
      <c r="U22" s="55" t="s">
        <v>55</v>
      </c>
      <c r="V22" s="67" t="str">
        <f t="array" ref="V22">IF(ISNUMBER($F$28)=TRUE,INDEX($L$19:$L$22, MATCH(LARGE($M$19:$M$22 + ($N$19:$N$22)/100 + ($O$19:$O$22)/1000, ROWS($AA$1:AA4)), $M$19:$M$22 + ($N$19:$N$22)/100 + ($O$19:$O$22)/1000, 0)), "4. B")</f>
        <v>Kanupolo Zürich</v>
      </c>
      <c r="W22" s="39"/>
      <c r="X22" s="50" t="s">
        <v>15</v>
      </c>
      <c r="Y22" s="50">
        <f>COUNTIF(J12:J36, X22) + countif(J40:J56, X22)</f>
        <v>4</v>
      </c>
      <c r="Z22" s="51"/>
      <c r="AA22" s="4"/>
    </row>
    <row r="23">
      <c r="A23" s="31"/>
      <c r="B23" s="40">
        <v>12.0</v>
      </c>
      <c r="C23" s="41" t="s">
        <v>56</v>
      </c>
      <c r="D23" s="42" t="s">
        <v>42</v>
      </c>
      <c r="E23" s="41" t="str">
        <f>I5</f>
        <v>Viking Venlo</v>
      </c>
      <c r="F23" s="42">
        <v>4.0</v>
      </c>
      <c r="G23" s="42" t="s">
        <v>30</v>
      </c>
      <c r="H23" s="42">
        <v>9.0</v>
      </c>
      <c r="I23" s="41" t="str">
        <f>I7</f>
        <v>Kayak Polo Málaga</v>
      </c>
      <c r="J23" s="43" t="str">
        <f>E7</f>
        <v>AKV Odysseus</v>
      </c>
      <c r="K23" s="4"/>
      <c r="L23" s="36"/>
      <c r="M23" s="37"/>
      <c r="N23" s="36"/>
      <c r="O23" s="36"/>
      <c r="P23" s="36"/>
      <c r="Q23" s="36"/>
      <c r="R23" s="36"/>
      <c r="S23" s="36"/>
      <c r="T23" s="38"/>
      <c r="U23" s="38"/>
      <c r="V23" s="36"/>
      <c r="W23" s="39"/>
      <c r="X23" s="50" t="s">
        <v>18</v>
      </c>
      <c r="Y23" s="50">
        <f>COUNTIF(J12:J36, X23) + countif(J40:J56, X23)</f>
        <v>3</v>
      </c>
      <c r="Z23" s="51"/>
      <c r="AA23" s="4"/>
    </row>
    <row r="24">
      <c r="A24" s="31"/>
      <c r="B24" s="40">
        <v>13.0</v>
      </c>
      <c r="C24" s="41" t="s">
        <v>57</v>
      </c>
      <c r="D24" s="42" t="s">
        <v>29</v>
      </c>
      <c r="E24" s="41" t="str">
        <f>C5</f>
        <v>TWF</v>
      </c>
      <c r="F24" s="42">
        <v>4.0</v>
      </c>
      <c r="G24" s="42" t="s">
        <v>30</v>
      </c>
      <c r="H24" s="42">
        <v>4.0</v>
      </c>
      <c r="I24" s="41" t="str">
        <f>C6</f>
        <v>Pro Scogli Chiavari</v>
      </c>
      <c r="J24" s="68" t="str">
        <f>J5</f>
        <v>KCRJ</v>
      </c>
      <c r="K24" s="4"/>
      <c r="L24" s="69" t="s">
        <v>42</v>
      </c>
      <c r="M24" s="70" t="s">
        <v>34</v>
      </c>
      <c r="N24" s="71" t="s">
        <v>35</v>
      </c>
      <c r="O24" s="70" t="s">
        <v>36</v>
      </c>
      <c r="P24" s="70" t="s">
        <v>37</v>
      </c>
      <c r="Q24" s="71" t="s">
        <v>38</v>
      </c>
      <c r="R24" s="71" t="s">
        <v>39</v>
      </c>
      <c r="S24" s="72" t="s">
        <v>40</v>
      </c>
      <c r="T24" s="38"/>
      <c r="U24" s="48"/>
      <c r="V24" s="49" t="s">
        <v>42</v>
      </c>
      <c r="W24" s="39"/>
      <c r="X24" s="50" t="s">
        <v>8</v>
      </c>
      <c r="Y24" s="50">
        <f>COUNTIF(J12:J36, X24) + countif(J40:J56, X24)</f>
        <v>3</v>
      </c>
      <c r="Z24" s="51"/>
      <c r="AA24" s="4"/>
    </row>
    <row r="25">
      <c r="A25" s="31"/>
      <c r="B25" s="40">
        <v>14.0</v>
      </c>
      <c r="C25" s="41" t="s">
        <v>58</v>
      </c>
      <c r="D25" s="42" t="s">
        <v>33</v>
      </c>
      <c r="E25" s="41" t="str">
        <f>E7</f>
        <v>AKV Odysseus</v>
      </c>
      <c r="F25" s="42">
        <v>3.0</v>
      </c>
      <c r="G25" s="42" t="s">
        <v>30</v>
      </c>
      <c r="H25" s="42">
        <v>2.0</v>
      </c>
      <c r="I25" s="41" t="s">
        <v>17</v>
      </c>
      <c r="J25" s="43" t="str">
        <f>I6</f>
        <v>KRM Essen</v>
      </c>
      <c r="K25" s="4"/>
      <c r="L25" s="52" t="str">
        <f t="shared" ref="L25:L28" si="8">I5</f>
        <v>Viking Venlo</v>
      </c>
      <c r="M25" s="53">
        <f t="shared" ref="M25:M28" si="9">Q25*3+S25*1</f>
        <v>0</v>
      </c>
      <c r="N25" s="53">
        <f t="shared" ref="N25:N28" si="10">O25-P25</f>
        <v>-8</v>
      </c>
      <c r="O25" s="53">
        <f>SUM(F14,F23,H29)</f>
        <v>8</v>
      </c>
      <c r="P25" s="53">
        <f>SUM(H14,H23,F29)</f>
        <v>16</v>
      </c>
      <c r="Q25" s="53">
        <f>IF($F14&gt;$H14,1,0)+IF($F23&gt;$H23,1,0)+IF($H29&gt;$F29,1,0)</f>
        <v>0</v>
      </c>
      <c r="R25" s="53">
        <f t="shared" ref="R25:R26" si="11">IF($F14&lt;$H14,1,0)+IF($F23&lt;$H23,1,0)+IF($H29&lt;$F29,1,0)</f>
        <v>3</v>
      </c>
      <c r="S25" s="54">
        <f>IF(ISNUMBER(F$14)=TRUE,IF($F14=$H14,1,0))+IF(ISNUMBER(F$23)=TRUE,IF($F23=$H23,1,0))+IF(ISNUMBER(F$29)=TRUE,IF($F29=$H29,1,0))</f>
        <v>0</v>
      </c>
      <c r="T25" s="38"/>
      <c r="U25" s="55" t="s">
        <v>43</v>
      </c>
      <c r="V25" s="65" t="str">
        <f t="array" ref="V25">IF(ISNUMBER($F$29)=TRUE,INDEX($L$25:$L$28, MATCH(LARGE($M$25:$M$28 + ($N$25:$N$28)/100 + ($O$25:$O$28)/1000, ROWS($AA$1:AA1)), $M$25:$M$28 + ($N$25:$N$28)/100 + ($O$25:$O$28)/1000, 0)), "1. C")</f>
        <v>Kayak Polo Málaga</v>
      </c>
      <c r="W25" s="39"/>
      <c r="X25" s="50" t="s">
        <v>12</v>
      </c>
      <c r="Y25" s="50">
        <f>COUNTIF(J12:J36, X25) + countif(J40:J56, X25)</f>
        <v>2</v>
      </c>
      <c r="Z25" s="51"/>
      <c r="AA25" s="4"/>
    </row>
    <row r="26">
      <c r="A26" s="31"/>
      <c r="B26" s="40">
        <v>15.0</v>
      </c>
      <c r="C26" s="41" t="s">
        <v>59</v>
      </c>
      <c r="D26" s="42" t="s">
        <v>42</v>
      </c>
      <c r="E26" s="41" t="s">
        <v>15</v>
      </c>
      <c r="F26" s="42">
        <v>4.0</v>
      </c>
      <c r="G26" s="42" t="s">
        <v>30</v>
      </c>
      <c r="H26" s="42">
        <v>5.0</v>
      </c>
      <c r="I26" s="41" t="str">
        <f>I8</f>
        <v>Montpellier MCK</v>
      </c>
      <c r="J26" s="43" t="str">
        <f>E6</f>
        <v>RCN Castellón</v>
      </c>
      <c r="K26" s="4"/>
      <c r="L26" s="52" t="str">
        <f t="shared" si="8"/>
        <v>KRM Essen</v>
      </c>
      <c r="M26" s="53">
        <f t="shared" si="9"/>
        <v>6</v>
      </c>
      <c r="N26" s="53">
        <f t="shared" si="10"/>
        <v>1</v>
      </c>
      <c r="O26" s="53">
        <f>SUM(F17,F29,H20)</f>
        <v>12</v>
      </c>
      <c r="P26" s="53">
        <f>SUM(H17,H29,F20)</f>
        <v>11</v>
      </c>
      <c r="Q26" s="53">
        <f>IF($F17&gt;$H17,1,0)+IF($H20&gt;$F20,1,0)+IF($F29&gt;$H29,1,0)</f>
        <v>2</v>
      </c>
      <c r="R26" s="53">
        <f t="shared" si="11"/>
        <v>1</v>
      </c>
      <c r="S26" s="54">
        <f>IF(ISNUMBER(F$17)=TRUE,IF($F17=$H17,1,0))+IF(ISNUMBER(F$20)=TRUE,IF($F20=$H20,1,0))+IF(ISNUMBER(F$29)=TRUE,IF($F29=$H29,1,0))</f>
        <v>0</v>
      </c>
      <c r="T26" s="38"/>
      <c r="U26" s="55" t="s">
        <v>46</v>
      </c>
      <c r="V26" s="73" t="str">
        <f t="array" ref="V26">IF(ISNUMBER($F$29)=TRUE,INDEX($L$25:$L$28, MATCH(LARGE($M$25:$M$28 + ($N$25:$N$28)/100 + ($O$25:$O$28)/1000, ROWS($AA$1:AA2)), $M$25:$M$28 + ($N$25:$N$28)/100 + ($O$25:$O$28)/1000, 0)), "2. C")</f>
        <v>KRM Essen</v>
      </c>
      <c r="W26" s="39"/>
      <c r="X26" s="50" t="s">
        <v>16</v>
      </c>
      <c r="Y26" s="50">
        <f>COUNTIF(J12:J36, X26) + countif(J40:J56, X26)</f>
        <v>3</v>
      </c>
      <c r="Z26" s="51"/>
      <c r="AA26" s="4"/>
    </row>
    <row r="27">
      <c r="A27" s="31"/>
      <c r="B27" s="40">
        <v>16.0</v>
      </c>
      <c r="C27" s="41" t="s">
        <v>60</v>
      </c>
      <c r="D27" s="42" t="s">
        <v>45</v>
      </c>
      <c r="E27" s="41" t="str">
        <f>J5</f>
        <v>KCRJ</v>
      </c>
      <c r="F27" s="42">
        <v>2.0</v>
      </c>
      <c r="G27" s="42" t="s">
        <v>30</v>
      </c>
      <c r="H27" s="42">
        <v>8.0</v>
      </c>
      <c r="I27" s="41" t="str">
        <f>J6</f>
        <v>KSVH Berlin</v>
      </c>
      <c r="J27" s="43" t="str">
        <f>C5</f>
        <v>TWF</v>
      </c>
      <c r="K27" s="4"/>
      <c r="L27" s="52" t="str">
        <f t="shared" si="8"/>
        <v>Kayak Polo Málaga</v>
      </c>
      <c r="M27" s="53">
        <f t="shared" si="9"/>
        <v>6</v>
      </c>
      <c r="N27" s="53">
        <f t="shared" si="10"/>
        <v>6</v>
      </c>
      <c r="O27" s="53">
        <f>SUM(H17,H23,F26)</f>
        <v>18</v>
      </c>
      <c r="P27" s="53">
        <f>SUM(F17,F23,H26)</f>
        <v>12</v>
      </c>
      <c r="Q27" s="53">
        <f>IF($H17&gt;$F17,1,0)+IF($H23&gt;$F23,1,0)+IF($F26&gt;$H26,1,0)</f>
        <v>2</v>
      </c>
      <c r="R27" s="53">
        <f>IF($H17&lt;$F17,1,0)+IF($H23&lt;$F23,1,0)+IF($F26&lt;$H26,1,0)</f>
        <v>1</v>
      </c>
      <c r="S27" s="54">
        <f>IF(ISNUMBER(F$17)=TRUE,IF($F17=$H17,1,0))+IF(ISNUMBER(F$23)=TRUE,IF($F23=$H23,1,0))+IF(ISNUMBER(F$26)=TRUE,IF($F26=$H26,1,0))</f>
        <v>0</v>
      </c>
      <c r="T27" s="38"/>
      <c r="U27" s="55" t="s">
        <v>48</v>
      </c>
      <c r="V27" s="73" t="str">
        <f t="array" ref="V27">IF(ISNUMBER($F$29)=TRUE,INDEX($L$25:$L$28, MATCH(LARGE($M$25:$M$28 + ($N$25:$N$28)/100 + ($O$25:$O$28)/1000, ROWS($AA$1:AA3)), $M$25:$M$28 + ($N$25:$N$28)/100 + ($O$25:$O$28)/1000, 0)), "3. C")</f>
        <v>Montpellier MCK</v>
      </c>
      <c r="W27" s="39"/>
      <c r="X27" s="50"/>
      <c r="Y27" s="4">
        <f>SUM(Y13:Y26)</f>
        <v>42</v>
      </c>
      <c r="Z27" s="51"/>
      <c r="AA27" s="4"/>
    </row>
    <row r="28">
      <c r="A28" s="31"/>
      <c r="B28" s="40">
        <v>17.0</v>
      </c>
      <c r="C28" s="41" t="s">
        <v>61</v>
      </c>
      <c r="D28" s="42" t="s">
        <v>33</v>
      </c>
      <c r="E28" s="41" t="str">
        <f>E6</f>
        <v>RCN Castellón</v>
      </c>
      <c r="F28" s="42">
        <v>9.0</v>
      </c>
      <c r="G28" s="42" t="s">
        <v>30</v>
      </c>
      <c r="H28" s="42">
        <v>4.0</v>
      </c>
      <c r="I28" s="57" t="str">
        <f>E5</f>
        <v>Kanupolo Zürich</v>
      </c>
      <c r="J28" s="43" t="str">
        <f>I7</f>
        <v>Kayak Polo Málaga</v>
      </c>
      <c r="K28" s="4"/>
      <c r="L28" s="58" t="str">
        <f t="shared" si="8"/>
        <v>Montpellier MCK</v>
      </c>
      <c r="M28" s="59">
        <f t="shared" si="9"/>
        <v>6</v>
      </c>
      <c r="N28" s="59">
        <f t="shared" si="10"/>
        <v>1</v>
      </c>
      <c r="O28" s="59">
        <f>SUM(H14,F20,H26)</f>
        <v>10</v>
      </c>
      <c r="P28" s="60">
        <f>SUM(F14,H20,F26)</f>
        <v>9</v>
      </c>
      <c r="Q28" s="59">
        <f>IF($H14&gt;$F14,1,0)+IF($F20&gt;$H20,1,0)+IF($H26&gt;$F26,1,0)</f>
        <v>2</v>
      </c>
      <c r="R28" s="60">
        <f>IF($H14&lt;$F14,1,0)+IF($F20&lt;$H20,1,0)+IF($H26&lt;$F26,1,0)</f>
        <v>1</v>
      </c>
      <c r="S28" s="61">
        <f>IF(ISNUMBER(F$14)=TRUE,IF($F14=$H14,1,0))+IF(ISNUMBER(F$20)=TRUE,IF($G20=$H20,1,0))+IF(ISNUMBER(F$26)=TRUE,IF($F26=$H26,1,0))</f>
        <v>0</v>
      </c>
      <c r="T28" s="38"/>
      <c r="U28" s="55" t="s">
        <v>55</v>
      </c>
      <c r="V28" s="74" t="str">
        <f t="array" ref="V28">IF(ISNUMBER($F$29)=TRUE,INDEX($L$25:$L$28, MATCH(LARGE($M$25:$M$28 + ($N$25:$N$28)/100 + ($O$25:$O$28)/1000, ROWS($AA$1:AA4)), $M$25:$M$28 + ($N$25:$N$28)/100 + ($O$25:$O$28)/1000, 0)), "4. C")</f>
        <v>Viking Venlo</v>
      </c>
      <c r="W28" s="39"/>
      <c r="X28" s="4"/>
      <c r="Y28" s="4"/>
      <c r="Z28" s="4"/>
      <c r="AA28" s="4"/>
    </row>
    <row r="29">
      <c r="A29" s="31"/>
      <c r="B29" s="40">
        <v>18.0</v>
      </c>
      <c r="C29" s="41" t="s">
        <v>62</v>
      </c>
      <c r="D29" s="42" t="s">
        <v>42</v>
      </c>
      <c r="E29" s="41" t="str">
        <f>I6</f>
        <v>KRM Essen</v>
      </c>
      <c r="F29" s="42">
        <v>5.0</v>
      </c>
      <c r="G29" s="42" t="s">
        <v>30</v>
      </c>
      <c r="H29" s="42">
        <v>3.0</v>
      </c>
      <c r="I29" s="41" t="str">
        <f>I5</f>
        <v>Viking Venlo</v>
      </c>
      <c r="J29" s="43" t="str">
        <f>E8</f>
        <v>Paris KPC</v>
      </c>
      <c r="K29" s="51"/>
      <c r="L29" s="36"/>
      <c r="M29" s="37"/>
      <c r="N29" s="36"/>
      <c r="O29" s="36"/>
      <c r="P29" s="36"/>
      <c r="Q29" s="36"/>
      <c r="R29" s="36"/>
      <c r="S29" s="36"/>
      <c r="T29" s="38"/>
      <c r="U29" s="38"/>
      <c r="V29" s="36"/>
      <c r="W29" s="39"/>
      <c r="X29" s="4"/>
      <c r="Y29" s="4"/>
      <c r="Z29" s="4"/>
      <c r="AA29" s="4"/>
    </row>
    <row r="30">
      <c r="A30" s="31"/>
      <c r="B30" s="40">
        <v>19.0</v>
      </c>
      <c r="C30" s="41" t="s">
        <v>63</v>
      </c>
      <c r="D30" s="42" t="s">
        <v>64</v>
      </c>
      <c r="E30" s="42" t="str">
        <f>V14</f>
        <v>Pro Scogli Chiavari</v>
      </c>
      <c r="F30" s="42">
        <v>4.0</v>
      </c>
      <c r="G30" s="42" t="s">
        <v>30</v>
      </c>
      <c r="H30" s="42">
        <v>6.0</v>
      </c>
      <c r="I30" s="42" t="str">
        <f t="shared" ref="I30:I32" si="12">V31</f>
        <v>Avranches</v>
      </c>
      <c r="J30" s="43" t="str">
        <f>E7</f>
        <v>AKV Odysseus</v>
      </c>
      <c r="K30" s="4"/>
      <c r="L30" s="44" t="s">
        <v>45</v>
      </c>
      <c r="M30" s="45" t="s">
        <v>34</v>
      </c>
      <c r="N30" s="46" t="s">
        <v>35</v>
      </c>
      <c r="O30" s="45" t="s">
        <v>36</v>
      </c>
      <c r="P30" s="45" t="s">
        <v>37</v>
      </c>
      <c r="Q30" s="46" t="s">
        <v>38</v>
      </c>
      <c r="R30" s="46" t="s">
        <v>39</v>
      </c>
      <c r="S30" s="47" t="s">
        <v>40</v>
      </c>
      <c r="T30" s="38"/>
      <c r="U30" s="48"/>
      <c r="V30" s="64" t="s">
        <v>45</v>
      </c>
      <c r="W30" s="39"/>
      <c r="X30" s="4"/>
      <c r="Y30" s="4"/>
      <c r="Z30" s="4"/>
      <c r="AA30" s="4"/>
    </row>
    <row r="31" ht="15.75" customHeight="1">
      <c r="A31" s="31"/>
      <c r="B31" s="40">
        <v>20.0</v>
      </c>
      <c r="C31" s="41" t="s">
        <v>65</v>
      </c>
      <c r="D31" s="42" t="s">
        <v>66</v>
      </c>
      <c r="E31" s="42" t="str">
        <f>V16</f>
        <v>KGW Essen</v>
      </c>
      <c r="F31" s="42">
        <v>4.0</v>
      </c>
      <c r="G31" s="42" t="s">
        <v>30</v>
      </c>
      <c r="H31" s="42">
        <v>3.0</v>
      </c>
      <c r="I31" s="42" t="str">
        <f t="shared" si="12"/>
        <v>KSVH Berlin</v>
      </c>
      <c r="J31" s="43" t="str">
        <f>I5</f>
        <v>Viking Venlo</v>
      </c>
      <c r="K31" s="4"/>
      <c r="L31" s="75" t="str">
        <f t="shared" ref="L31:L33" si="13">J5</f>
        <v>KCRJ</v>
      </c>
      <c r="M31" s="53">
        <f t="shared" ref="M31:M33" si="14">Q31*3+S31*1</f>
        <v>0</v>
      </c>
      <c r="N31" s="53">
        <f t="shared" ref="N31:N33" si="15">O31-P31</f>
        <v>-10</v>
      </c>
      <c r="O31" s="76">
        <f>SUM(H21,F27)</f>
        <v>4</v>
      </c>
      <c r="P31" s="53">
        <f>SUM(F21,H27)</f>
        <v>14</v>
      </c>
      <c r="Q31" s="53">
        <f>IF($H$21&gt;$F$21,1,0)+IF($F$27&gt;$H$27,1,0)</f>
        <v>0</v>
      </c>
      <c r="R31" s="53">
        <f>IF($H$21&lt;$F$21,1,0)+IF($F$27&lt;$H$27,1,0)</f>
        <v>2</v>
      </c>
      <c r="S31" s="54">
        <f>IF(ISNUMBER($H$21)=TRUE,IF($H$21=$F$21,1,0),0)+IF(ISNUMBER($H$27)=TRUE,IF($F$27=$H$27,1,0))</f>
        <v>0</v>
      </c>
      <c r="T31" s="38"/>
      <c r="U31" s="55" t="s">
        <v>43</v>
      </c>
      <c r="V31" s="65" t="str">
        <f t="array" ref="V31">IF(ISNUMBER($F$27)=TRUE,INDEX($L$31:$L$33, MATCH(LARGE($M$31:$M$33+ ($N$31:$N$33)/100 + ($O$31:$O$33)/1000, ROWS($AA$1:AA1)), $M$31:$M$33 + ($N$31:$N$33)/100 + ($O$31:$O$33)/1000, 0)), "1. D")</f>
        <v>Avranches</v>
      </c>
      <c r="W31" s="39"/>
      <c r="X31" s="4"/>
      <c r="Y31" s="4"/>
      <c r="Z31" s="4"/>
      <c r="AA31" s="4"/>
    </row>
    <row r="32" ht="15.75" customHeight="1">
      <c r="A32" s="31"/>
      <c r="B32" s="40">
        <v>21.0</v>
      </c>
      <c r="C32" s="41" t="s">
        <v>67</v>
      </c>
      <c r="D32" s="42" t="s">
        <v>68</v>
      </c>
      <c r="E32" s="42" t="str">
        <f>V15</f>
        <v>TWF</v>
      </c>
      <c r="F32" s="42">
        <v>3.0</v>
      </c>
      <c r="G32" s="42" t="s">
        <v>30</v>
      </c>
      <c r="H32" s="42">
        <v>2.0</v>
      </c>
      <c r="I32" s="42" t="str">
        <f t="shared" si="12"/>
        <v>KCRJ</v>
      </c>
      <c r="J32" s="43" t="str">
        <f>I8</f>
        <v>Montpellier MCK</v>
      </c>
      <c r="K32" s="4"/>
      <c r="L32" s="75" t="str">
        <f t="shared" si="13"/>
        <v>KSVH Berlin</v>
      </c>
      <c r="M32" s="53">
        <f t="shared" si="14"/>
        <v>3</v>
      </c>
      <c r="N32" s="53">
        <f t="shared" si="15"/>
        <v>5</v>
      </c>
      <c r="O32" s="76">
        <f>SUM(F15,H27)</f>
        <v>11</v>
      </c>
      <c r="P32" s="53">
        <f>SUM(H15,F27)</f>
        <v>6</v>
      </c>
      <c r="Q32" s="53">
        <f>IF($H$15&lt;$F$15,1,0)+IF($H$27&gt;$F$27,1,0)</f>
        <v>1</v>
      </c>
      <c r="R32" s="53">
        <f>IF($F$15&lt;$H$15,1,0)+IF($H$27&lt;$F$27,1,0)</f>
        <v>1</v>
      </c>
      <c r="S32" s="54">
        <f>IF(ISNUMBER($H$15)=TRUE,IF($H$15=$F$15,1,0),0)+IF(ISNUMBER($H$27)=TRUE,IF($F$27=$H$27,1,0))</f>
        <v>0</v>
      </c>
      <c r="T32" s="38"/>
      <c r="U32" s="55" t="s">
        <v>46</v>
      </c>
      <c r="V32" s="73" t="str">
        <f t="array" ref="V32">IF(ISNUMBER($F$27)=TRUE,INDEX($L$31:$L$33, MATCH(LARGE($M$31:$M$33+ ($N$31:$N$33)/100 + ($O$31:$O$33)/1000, ROWS($AA$1:AA2)), $M$31:$M$33 + ($N$31:$N$33)/100 + ($O$31:$O$33)/1000, 0)), "2. D")</f>
        <v>KSVH Berlin</v>
      </c>
      <c r="W32" s="39"/>
      <c r="X32" s="4"/>
      <c r="Y32" s="4"/>
      <c r="Z32" s="4"/>
      <c r="AA32" s="4"/>
    </row>
    <row r="33" ht="15.75" customHeight="1">
      <c r="A33" s="31"/>
      <c r="B33" s="40">
        <v>22.0</v>
      </c>
      <c r="C33" s="41" t="s">
        <v>69</v>
      </c>
      <c r="D33" s="42" t="s">
        <v>70</v>
      </c>
      <c r="E33" s="42" t="str">
        <f>V21</f>
        <v>RCN Castellón</v>
      </c>
      <c r="F33" s="42">
        <v>2.0</v>
      </c>
      <c r="G33" s="42" t="s">
        <v>30</v>
      </c>
      <c r="H33" s="42">
        <v>1.0</v>
      </c>
      <c r="I33" s="42" t="str">
        <f>V28</f>
        <v>Viking Venlo</v>
      </c>
      <c r="J33" s="77" t="str">
        <f>IF(ISNUMBER($F$31)=TRUE,IF($F31&gt;$H31,$E31,$I31), "Winner 20 (F)")</f>
        <v>KGW Essen</v>
      </c>
      <c r="K33" s="4"/>
      <c r="L33" s="74" t="str">
        <f t="shared" si="13"/>
        <v>Avranches</v>
      </c>
      <c r="M33" s="59">
        <f t="shared" si="14"/>
        <v>6</v>
      </c>
      <c r="N33" s="59">
        <f t="shared" si="15"/>
        <v>5</v>
      </c>
      <c r="O33" s="60">
        <f>SUM(H15,F21)</f>
        <v>10</v>
      </c>
      <c r="P33" s="59">
        <f>SUM(F15,H21)</f>
        <v>5</v>
      </c>
      <c r="Q33" s="59">
        <f>IF($H$15&gt;$F$15,1,0)+IF($F$21&gt;$H$21,1,0)</f>
        <v>2</v>
      </c>
      <c r="R33" s="59">
        <f>IF($H$15&lt;$F$15,1,0)+IF($F$21&lt;$H$21,1,0)</f>
        <v>0</v>
      </c>
      <c r="S33" s="61">
        <f>IF(ISNUMBER($H$21)=TRUE,IF($H$21=$F$21,1,0),0)+IF(ISNUMBER($H$15)=TRUE,IF($F$15=$H$15,1,0))</f>
        <v>0</v>
      </c>
      <c r="T33" s="38"/>
      <c r="U33" s="55" t="s">
        <v>48</v>
      </c>
      <c r="V33" s="74" t="str">
        <f t="array" ref="V33">IF(ISNUMBER($F$27)=TRUE,INDEX($L$31:$L$33, MATCH(LARGE($M$31:$M$33+ ($N$31:$N$33)/100 + ($O$31:$O$33)/1000, ROWS($AA$1:AA3)), $M$31:$M$33 + ($N$31:$N$33)/100 + ($O$31:$O$33)/1000, 0)), "3. D")</f>
        <v>KCRJ</v>
      </c>
      <c r="W33" s="39"/>
      <c r="X33" s="4"/>
      <c r="Y33" s="4"/>
      <c r="Z33" s="4"/>
      <c r="AA33" s="4"/>
    </row>
    <row r="34" ht="15.75" customHeight="1">
      <c r="A34" s="31"/>
      <c r="B34" s="40">
        <v>23.0</v>
      </c>
      <c r="C34" s="41" t="s">
        <v>71</v>
      </c>
      <c r="D34" s="42" t="s">
        <v>72</v>
      </c>
      <c r="E34" s="42" t="str">
        <f t="shared" ref="E34:E35" si="16">V27</f>
        <v>Montpellier MCK</v>
      </c>
      <c r="F34" s="42">
        <v>3.0</v>
      </c>
      <c r="G34" s="42" t="s">
        <v>30</v>
      </c>
      <c r="H34" s="42">
        <v>3.0</v>
      </c>
      <c r="I34" s="42" t="str">
        <f>V22</f>
        <v>Kanupolo Zürich</v>
      </c>
      <c r="J34" s="77" t="str">
        <f>IF(ISNUMBER($F$32)=TRUE,IF($F32&gt;$H32,$E32,$I32), "Winner 21 (G)")</f>
        <v>TWF</v>
      </c>
      <c r="K34" s="4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"/>
      <c r="Y34" s="4"/>
      <c r="Z34" s="4"/>
      <c r="AA34" s="4"/>
    </row>
    <row r="35" ht="15.75" customHeight="1">
      <c r="A35" s="31"/>
      <c r="B35" s="40">
        <v>24.0</v>
      </c>
      <c r="C35" s="41" t="s">
        <v>73</v>
      </c>
      <c r="D35" s="42" t="s">
        <v>70</v>
      </c>
      <c r="E35" s="42" t="str">
        <f t="shared" si="16"/>
        <v>Viking Venlo</v>
      </c>
      <c r="F35" s="42">
        <v>2.0</v>
      </c>
      <c r="G35" s="42" t="s">
        <v>30</v>
      </c>
      <c r="H35" s="42">
        <v>5.0</v>
      </c>
      <c r="I35" s="42" t="str">
        <f>IF(ISNUMBER($F$31)=TRUE,IF($F31&lt;$H31,$E31,$I31), "Loser 20 (F)")</f>
        <v>KSVH Berlin</v>
      </c>
      <c r="J35" s="77" t="str">
        <f>IF(ISNUMBER($F$30)=TRUE,IF($F30&gt;$H30,$E30,$I30), "Winner 19 (E)")</f>
        <v>Avranches</v>
      </c>
      <c r="K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31"/>
      <c r="B36" s="78">
        <v>25.0</v>
      </c>
      <c r="C36" s="79" t="s">
        <v>74</v>
      </c>
      <c r="D36" s="80" t="s">
        <v>72</v>
      </c>
      <c r="E36" s="80" t="str">
        <f>V22</f>
        <v>Kanupolo Zürich</v>
      </c>
      <c r="F36" s="80">
        <v>4.0</v>
      </c>
      <c r="G36" s="80" t="s">
        <v>30</v>
      </c>
      <c r="H36" s="80">
        <v>5.0</v>
      </c>
      <c r="I36" s="80" t="str">
        <f>IF(ISNUMBER($F$32)=TRUE,IF($F32&lt;$H32,$E32,$I32), "Loser 21 (G)")</f>
        <v>KCRJ</v>
      </c>
      <c r="J36" s="81" t="str">
        <f>IF(ISNUMBER($F$30)=TRUE,IF($F30&lt;$H30,$E30,$I30), "Loser 19 (E)")</f>
        <v>Pro Scogli Chiavari</v>
      </c>
      <c r="K36" s="4"/>
      <c r="L36" s="4"/>
      <c r="M36" s="4"/>
      <c r="N36" s="4"/>
      <c r="O36" s="5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1"/>
      <c r="B38" s="20" t="s">
        <v>75</v>
      </c>
      <c r="C38" s="21"/>
      <c r="D38" s="21"/>
      <c r="E38" s="21"/>
      <c r="F38" s="21"/>
      <c r="G38" s="21"/>
      <c r="H38" s="21"/>
      <c r="I38" s="21"/>
      <c r="J38" s="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31"/>
      <c r="B39" s="25" t="s">
        <v>20</v>
      </c>
      <c r="C39" s="26" t="s">
        <v>21</v>
      </c>
      <c r="D39" s="27" t="s">
        <v>22</v>
      </c>
      <c r="E39" s="27" t="s">
        <v>23</v>
      </c>
      <c r="F39" s="27"/>
      <c r="G39" s="27"/>
      <c r="H39" s="27"/>
      <c r="I39" s="27" t="s">
        <v>24</v>
      </c>
      <c r="J39" s="28" t="s">
        <v>25</v>
      </c>
      <c r="K39" s="4"/>
      <c r="L39" s="29" t="s">
        <v>76</v>
      </c>
      <c r="W39" s="4"/>
      <c r="X39" s="4"/>
      <c r="Y39" s="4"/>
      <c r="Z39" s="4"/>
      <c r="AA39" s="4"/>
    </row>
    <row r="40" ht="15.75" customHeight="1">
      <c r="A40" s="31"/>
      <c r="B40" s="32">
        <v>26.0</v>
      </c>
      <c r="C40" s="33" t="s">
        <v>77</v>
      </c>
      <c r="D40" s="34" t="s">
        <v>78</v>
      </c>
      <c r="E40" s="34" t="str">
        <f>V19</f>
        <v>Paris KPC</v>
      </c>
      <c r="F40" s="34">
        <v>3.0</v>
      </c>
      <c r="G40" s="34" t="s">
        <v>30</v>
      </c>
      <c r="H40" s="34">
        <v>8.0</v>
      </c>
      <c r="I40" s="34" t="str">
        <f>IF(ISNUMBER($F$31)=TRUE,IF($F31&gt;$H31,$E31,$I31), "Winner 20 (F)")</f>
        <v>KGW Essen</v>
      </c>
      <c r="J40" s="82" t="str">
        <f>V27</f>
        <v>Montpellier MCK</v>
      </c>
      <c r="K40" s="4"/>
      <c r="L40" s="36"/>
      <c r="M40" s="37"/>
      <c r="N40" s="36"/>
      <c r="O40" s="36"/>
      <c r="P40" s="36"/>
      <c r="Q40" s="36"/>
      <c r="R40" s="36"/>
      <c r="S40" s="36"/>
      <c r="T40" s="38"/>
      <c r="U40" s="38"/>
      <c r="V40" s="36" t="s">
        <v>31</v>
      </c>
      <c r="W40" s="4"/>
      <c r="X40" s="4"/>
      <c r="Y40" s="4"/>
      <c r="Z40" s="4"/>
      <c r="AA40" s="4"/>
    </row>
    <row r="41" ht="15.75" customHeight="1">
      <c r="A41" s="31"/>
      <c r="B41" s="40">
        <v>27.0</v>
      </c>
      <c r="C41" s="41" t="s">
        <v>79</v>
      </c>
      <c r="D41" s="41" t="s">
        <v>80</v>
      </c>
      <c r="E41" s="42" t="str">
        <f>V25</f>
        <v>Kayak Polo Málaga</v>
      </c>
      <c r="F41" s="42">
        <v>6.0</v>
      </c>
      <c r="G41" s="42" t="s">
        <v>30</v>
      </c>
      <c r="H41" s="42">
        <v>5.0</v>
      </c>
      <c r="I41" s="42" t="str">
        <f>IF(ISNUMBER($F$32)=TRUE,IF($F32&gt;$H32,$E32,$I32), "Winner 21 (G)")</f>
        <v>TWF</v>
      </c>
      <c r="J41" s="83" t="str">
        <f>V21</f>
        <v>RCN Castellón</v>
      </c>
      <c r="K41" s="4"/>
      <c r="L41" s="84" t="s">
        <v>70</v>
      </c>
      <c r="M41" s="45" t="s">
        <v>34</v>
      </c>
      <c r="N41" s="46" t="s">
        <v>35</v>
      </c>
      <c r="O41" s="45" t="s">
        <v>36</v>
      </c>
      <c r="P41" s="45" t="s">
        <v>37</v>
      </c>
      <c r="Q41" s="46" t="s">
        <v>38</v>
      </c>
      <c r="R41" s="46" t="s">
        <v>39</v>
      </c>
      <c r="S41" s="47" t="s">
        <v>40</v>
      </c>
      <c r="T41" s="39"/>
      <c r="U41" s="48"/>
      <c r="V41" s="49" t="s">
        <v>70</v>
      </c>
      <c r="W41" s="4"/>
      <c r="X41" s="4"/>
      <c r="Y41" s="4"/>
      <c r="Z41" s="4"/>
      <c r="AA41" s="4"/>
    </row>
    <row r="42" ht="15.75" customHeight="1">
      <c r="A42" s="31"/>
      <c r="B42" s="40">
        <v>28.0</v>
      </c>
      <c r="C42" s="41" t="s">
        <v>81</v>
      </c>
      <c r="D42" s="41" t="s">
        <v>82</v>
      </c>
      <c r="E42" s="42" t="str">
        <f>V20</f>
        <v>AKV Odysseus</v>
      </c>
      <c r="F42" s="42">
        <v>3.0</v>
      </c>
      <c r="G42" s="42" t="s">
        <v>30</v>
      </c>
      <c r="H42" s="42">
        <v>2.0</v>
      </c>
      <c r="I42" s="42" t="str">
        <f>IF(ISNUMBER($F$30)=TRUE,IF($F30&lt;$H30,$E30,$I30), "Loser 19 (E)")</f>
        <v>Pro Scogli Chiavari</v>
      </c>
      <c r="J42" s="77" t="str">
        <f>IF(ISNUMBER($F$31)=TRUE,IF($F31&lt;$H31,$E31,$I31), "Loser 20 (F)")</f>
        <v>KSVH Berlin</v>
      </c>
      <c r="K42" s="4"/>
      <c r="L42" s="52" t="str">
        <f>V21</f>
        <v>RCN Castellón</v>
      </c>
      <c r="M42" s="53">
        <f t="shared" ref="M42:M44" si="17">Q42*3+S42*1</f>
        <v>3</v>
      </c>
      <c r="N42" s="53">
        <f t="shared" ref="N42:N44" si="18">O42-P42</f>
        <v>0</v>
      </c>
      <c r="O42" s="53">
        <f>SUM(F33,H44)</f>
        <v>5</v>
      </c>
      <c r="P42" s="76">
        <f>SUM(H33,F44)</f>
        <v>5</v>
      </c>
      <c r="Q42" s="53">
        <f>IF($F$33&gt;$H$33,1,0)+IF($H$44&gt;$F$44,1,0)</f>
        <v>1</v>
      </c>
      <c r="R42" s="53">
        <f>IF($F$33&lt;$H$33,1,0)+IF($H$44&lt;$F$44,1,0)</f>
        <v>1</v>
      </c>
      <c r="S42" s="54">
        <f>IF(ISNUMBER($F$33)=TRUE,IF($F$33=$H$33,1,0),0)+IF(ISNUMBER($F$44)=TRUE,IF($F$44=$H$44,1,0))</f>
        <v>0</v>
      </c>
      <c r="T42" s="39"/>
      <c r="U42" s="55" t="s">
        <v>43</v>
      </c>
      <c r="V42" s="56" t="str">
        <f t="array" ref="V42">IF(ISNUMBER($F$44)=TRUE,INDEX($L$42:$L$44, MATCH(LARGE($M$42:$M$44 + ($N$42:$N$44)/100 + ($O$42:$O$44)/1000, ROWS($Y$2:Y2)), $M$42:$M$44 + ($N$42:$N$44)/100 + ($O$42:$O$44)/1000, 0)), "1. X")</f>
        <v>KSVH Berlin</v>
      </c>
      <c r="W42" s="4"/>
      <c r="X42" s="4"/>
      <c r="Y42" s="4"/>
      <c r="Z42" s="4"/>
      <c r="AA42" s="4"/>
    </row>
    <row r="43" ht="15.75" customHeight="1">
      <c r="A43" s="31"/>
      <c r="B43" s="40">
        <v>29.0</v>
      </c>
      <c r="C43" s="41" t="s">
        <v>83</v>
      </c>
      <c r="D43" s="41" t="s">
        <v>84</v>
      </c>
      <c r="E43" s="42" t="str">
        <f>V26</f>
        <v>KRM Essen</v>
      </c>
      <c r="F43" s="42">
        <v>3.0</v>
      </c>
      <c r="G43" s="42" t="s">
        <v>30</v>
      </c>
      <c r="H43" s="42">
        <v>2.0</v>
      </c>
      <c r="I43" s="42" t="str">
        <f>IF(ISNUMBER($F$30)=TRUE,IF($F30&gt;$H30,$E30,$I30), "Winner 19 (E)")</f>
        <v>Avranches</v>
      </c>
      <c r="J43" s="77" t="str">
        <f>IF(ISNUMBER($F$32)=TRUE,IF($F32&lt;$H32,$E32,$I32), "Loser 21 (G)")</f>
        <v>KCRJ</v>
      </c>
      <c r="K43" s="4"/>
      <c r="L43" s="52" t="str">
        <f>V28</f>
        <v>Viking Venlo</v>
      </c>
      <c r="M43" s="53">
        <f t="shared" si="17"/>
        <v>0</v>
      </c>
      <c r="N43" s="53">
        <f t="shared" si="18"/>
        <v>-4</v>
      </c>
      <c r="O43" s="53">
        <f>SUM(H33,F35)</f>
        <v>3</v>
      </c>
      <c r="P43" s="53">
        <f>SUM(F33,H35)</f>
        <v>7</v>
      </c>
      <c r="Q43" s="53">
        <f>IF($H$33&gt;$F$33,1,0)+IF($F$35&gt;$H$35,1,0)</f>
        <v>0</v>
      </c>
      <c r="R43" s="53">
        <f t="shared" ref="R43:R44" si="19">IF($H$33&lt;$F$33,1,0)+IF($F$35&lt;$H$35,1,0)</f>
        <v>2</v>
      </c>
      <c r="S43" s="54">
        <f>IF(ISNUMBER($F$33)=TRUE,IF($F$33=$H$33,1,0),0)+IF(ISNUMBER($F$35)=TRUE,IF($F$35=$H$35,1,0))</f>
        <v>0</v>
      </c>
      <c r="T43" s="39"/>
      <c r="U43" s="55" t="s">
        <v>46</v>
      </c>
      <c r="V43" s="85" t="str">
        <f t="array" ref="V43">IF(ISNUMBER($F$44)=TRUE,INDEX($L$42:$L$44, MATCH(LARGE($M$42:$M$44 + ($N$42:$N$44)/100 + ($O$42:$O$44)/1000, ROWS($Y$2:Y3)), $M$42:$M$44 + ($N$42:$N$44)/100 + ($O$42:$O$44)/1000, 0)), "2. X")</f>
        <v>RCN Castellón</v>
      </c>
      <c r="W43" s="4"/>
      <c r="X43" s="4"/>
      <c r="Y43" s="4"/>
      <c r="Z43" s="4"/>
      <c r="AA43" s="4"/>
    </row>
    <row r="44" ht="15.75" customHeight="1">
      <c r="A44" s="31"/>
      <c r="B44" s="40">
        <v>30.0</v>
      </c>
      <c r="C44" s="41" t="s">
        <v>85</v>
      </c>
      <c r="D44" s="42" t="s">
        <v>70</v>
      </c>
      <c r="E44" s="42" t="str">
        <f>IF(ISNUMBER($F$31)=TRUE,IF($F31&lt;$H31,$E31,$I31), "Loser 20 (F)")</f>
        <v>KSVH Berlin</v>
      </c>
      <c r="F44" s="42">
        <v>4.0</v>
      </c>
      <c r="G44" s="42" t="s">
        <v>30</v>
      </c>
      <c r="H44" s="42">
        <v>3.0</v>
      </c>
      <c r="I44" s="42" t="str">
        <f>V21</f>
        <v>RCN Castellón</v>
      </c>
      <c r="J44" s="68" t="str">
        <f>V28</f>
        <v>Viking Venlo</v>
      </c>
      <c r="K44" s="4"/>
      <c r="L44" s="58" t="str">
        <f>IF(ISNUMBER($F$31)=TRUE,IF($F31&lt;$H31,$E31,$I31), "Loser 20 (F)")</f>
        <v>KSVH Berlin</v>
      </c>
      <c r="M44" s="59">
        <f t="shared" si="17"/>
        <v>3</v>
      </c>
      <c r="N44" s="59">
        <f t="shared" si="18"/>
        <v>4</v>
      </c>
      <c r="O44" s="59">
        <f>SUM(H35,F44)</f>
        <v>9</v>
      </c>
      <c r="P44" s="59">
        <f>SUM(F35,H44)</f>
        <v>5</v>
      </c>
      <c r="Q44" s="59">
        <f>IF($H$35&lt;$F$35,1,0)+IF($F$44&gt;$H$44,1,0)</f>
        <v>1</v>
      </c>
      <c r="R44" s="60">
        <f t="shared" si="19"/>
        <v>2</v>
      </c>
      <c r="S44" s="61">
        <f>IF(ISNUMBER($F44)=TRUE,IF($F$44=$H$44,1,0),0)+IF(ISNUMBER($F$35)=TRUE,IF($F$35=$H$35,1,0))</f>
        <v>0</v>
      </c>
      <c r="T44" s="38"/>
      <c r="U44" s="55" t="s">
        <v>48</v>
      </c>
      <c r="V44" s="86" t="str">
        <f t="array" ref="V44">IF(ISNUMBER($F$44)=TRUE,INDEX($L$42:$L$44, MATCH(LARGE($M$42:$M$44 + ($N$42:$N$44)/100 + ($O$42:$O$44)/1000, ROWS($Y$2:Y4)), $M$42:$M$44 + ($N$42:$N$44)/100 + ($O$42:$O$44)/1000, 0)), "3. X")</f>
        <v>Viking Venlo</v>
      </c>
      <c r="W44" s="4"/>
      <c r="X44" s="4"/>
      <c r="Y44" s="4"/>
      <c r="Z44" s="4"/>
      <c r="AA44" s="4"/>
    </row>
    <row r="45" ht="15.75" customHeight="1">
      <c r="A45" s="31"/>
      <c r="B45" s="40">
        <v>31.0</v>
      </c>
      <c r="C45" s="41" t="s">
        <v>86</v>
      </c>
      <c r="D45" s="42" t="s">
        <v>72</v>
      </c>
      <c r="E45" s="42" t="str">
        <f>IF(ISNUMBER($F$32)=TRUE,IF($F32&lt;$H32,$E32,$I32), "Loser 21 (G)")</f>
        <v>KCRJ</v>
      </c>
      <c r="F45" s="42">
        <v>2.0</v>
      </c>
      <c r="G45" s="42" t="s">
        <v>30</v>
      </c>
      <c r="H45" s="42">
        <v>3.0</v>
      </c>
      <c r="I45" s="42" t="str">
        <f>V27</f>
        <v>Montpellier MCK</v>
      </c>
      <c r="J45" s="68" t="str">
        <f>V22</f>
        <v>Kanupolo Zürich</v>
      </c>
      <c r="K45" s="4"/>
      <c r="L45" s="51"/>
      <c r="M45" s="51"/>
      <c r="N45" s="5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31"/>
      <c r="B46" s="40">
        <v>32.0</v>
      </c>
      <c r="C46" s="41" t="s">
        <v>87</v>
      </c>
      <c r="D46" s="41" t="s">
        <v>88</v>
      </c>
      <c r="E46" s="42" t="str">
        <f>IF(ISNUMBER($F$40)=TRUE,IF($F40&gt;$H40,$E40,$I40), "Winner 27 (QF1)")</f>
        <v>KGW Essen</v>
      </c>
      <c r="F46" s="42">
        <v>2.0</v>
      </c>
      <c r="G46" s="42" t="s">
        <v>30</v>
      </c>
      <c r="H46" s="42">
        <v>6.0</v>
      </c>
      <c r="I46" s="42" t="str">
        <f>IF(ISNUMBER($F$41)=TRUE,IF($F41&gt;$H41,$E41,$I41), "Winner 27 (QF2)")</f>
        <v>Kayak Polo Málaga</v>
      </c>
      <c r="J46" s="43" t="str">
        <f>IF(ISNUMBER($F$42)=TRUE,IF($F42&lt;$H42,$E42,$I42), "Loser 28 (QF3)")</f>
        <v>Pro Scogli Chiavari</v>
      </c>
      <c r="K46" s="4"/>
      <c r="L46" s="87" t="s">
        <v>72</v>
      </c>
      <c r="M46" s="45" t="s">
        <v>34</v>
      </c>
      <c r="N46" s="46" t="s">
        <v>35</v>
      </c>
      <c r="O46" s="45" t="s">
        <v>36</v>
      </c>
      <c r="P46" s="45" t="s">
        <v>37</v>
      </c>
      <c r="Q46" s="46" t="s">
        <v>38</v>
      </c>
      <c r="R46" s="46" t="s">
        <v>39</v>
      </c>
      <c r="S46" s="47" t="s">
        <v>40</v>
      </c>
      <c r="T46" s="39"/>
      <c r="U46" s="48"/>
      <c r="V46" s="64" t="s">
        <v>72</v>
      </c>
      <c r="W46" s="4"/>
      <c r="X46" s="4"/>
      <c r="Y46" s="4"/>
      <c r="Z46" s="4"/>
      <c r="AA46" s="4"/>
    </row>
    <row r="47" ht="15.75" customHeight="1">
      <c r="A47" s="31"/>
      <c r="B47" s="40">
        <v>33.0</v>
      </c>
      <c r="C47" s="41" t="s">
        <v>89</v>
      </c>
      <c r="D47" s="41" t="s">
        <v>90</v>
      </c>
      <c r="E47" s="42" t="str">
        <f>IF(ISNUMBER($F$42)=TRUE,IF($F42&gt;$H42,$E42,$I42), "Winner 28 (QF3)")</f>
        <v>AKV Odysseus</v>
      </c>
      <c r="F47" s="42">
        <v>4.0</v>
      </c>
      <c r="G47" s="42" t="s">
        <v>30</v>
      </c>
      <c r="H47" s="42">
        <v>3.0</v>
      </c>
      <c r="I47" s="42" t="str">
        <f>IF(ISNUMBER($F$43)=TRUE,IF($F43&gt;$H43,$E43,$I43), "Winner 29 (QF4)")</f>
        <v>KRM Essen</v>
      </c>
      <c r="J47" s="43" t="str">
        <f>IF(ISNUMBER($F$40)=TRUE,IF($F40&lt;$H40,$E40,$I40), "Loser 26 (QF1)")</f>
        <v>Paris KPC</v>
      </c>
      <c r="K47" s="4"/>
      <c r="L47" s="88" t="str">
        <f>V27</f>
        <v>Montpellier MCK</v>
      </c>
      <c r="M47" s="89">
        <f t="shared" ref="M47:M49" si="20">Q47*3+S47*1</f>
        <v>4</v>
      </c>
      <c r="N47" s="89">
        <f t="shared" ref="N47:N49" si="21">O47-P47</f>
        <v>1</v>
      </c>
      <c r="O47" s="89">
        <f>SUM(F34,H45)</f>
        <v>6</v>
      </c>
      <c r="P47" s="89">
        <f>SUM(H34,F45)</f>
        <v>5</v>
      </c>
      <c r="Q47" s="89">
        <f>IF($F$34&gt;$H$34,1,0)+IF($H$45&gt;$F$45,1,0)</f>
        <v>1</v>
      </c>
      <c r="R47" s="89">
        <f>IF($F$34&lt;$H$34,1,0)+IF($H$45&lt;$F$45,1,0)</f>
        <v>0</v>
      </c>
      <c r="S47" s="90">
        <f>IF(ISNUMBER($H$34)=TRUE,IF($H$34=$F$34,1,0),0)+IF(ISNUMBER($H$45)=TRUE,IF($F$45=$H$45,1,0))</f>
        <v>1</v>
      </c>
      <c r="T47" s="39"/>
      <c r="U47" s="55" t="s">
        <v>43</v>
      </c>
      <c r="V47" s="56" t="str">
        <f t="array" ref="V47">IF(ISNUMBER($F$45)=TRUE,INDEX($L$47:$L$49, MATCH(LARGE($M$47:$M$49 + ($N$47:$N$49)/100 + ($O$47:$O$49)/1000, ROWS($Y$2:Y2)), $M$47:$M$49 + ($N$47:$N$49)/100 + ($O$47:$O$49)/1000, 0)), "1. Y")</f>
        <v>Montpellier MCK</v>
      </c>
      <c r="W47" s="4"/>
      <c r="X47" s="4"/>
      <c r="Y47" s="4"/>
      <c r="Z47" s="4"/>
      <c r="AA47" s="4"/>
    </row>
    <row r="48" ht="15.75" customHeight="1">
      <c r="A48" s="31"/>
      <c r="B48" s="40">
        <v>34.0</v>
      </c>
      <c r="C48" s="41" t="s">
        <v>91</v>
      </c>
      <c r="D48" s="42" t="s">
        <v>92</v>
      </c>
      <c r="E48" s="42" t="str">
        <f>IF(ISNUMBER($F$42)=TRUE,IF($F42&lt;$H42,$E42,$I42), "Loser 28 (QF3)")</f>
        <v>Pro Scogli Chiavari</v>
      </c>
      <c r="F48" s="42">
        <v>4.0</v>
      </c>
      <c r="G48" s="42" t="s">
        <v>30</v>
      </c>
      <c r="H48" s="42">
        <v>1.0</v>
      </c>
      <c r="I48" s="42" t="str">
        <f>IF(ISNUMBER($F$43)=TRUE,IF($F43&lt;$H43,$E43,$I43), "Loser 29 (QF4)")</f>
        <v>Avranches</v>
      </c>
      <c r="J48" s="43" t="str">
        <f>IF(ISNUMBER($F$41)=TRUE,IF($F41&gt;$H401,$E41,$I41), "Winner 27 (QF2)")</f>
        <v>Kayak Polo Málaga</v>
      </c>
      <c r="K48" s="4"/>
      <c r="L48" s="52" t="str">
        <f>V22</f>
        <v>Kanupolo Zürich</v>
      </c>
      <c r="M48" s="53">
        <f t="shared" si="20"/>
        <v>1</v>
      </c>
      <c r="N48" s="53">
        <f t="shared" si="21"/>
        <v>-1</v>
      </c>
      <c r="O48" s="53">
        <f>SUM(H34,F36)</f>
        <v>7</v>
      </c>
      <c r="P48" s="53">
        <f>SUM(F34,H36)</f>
        <v>8</v>
      </c>
      <c r="Q48" s="53">
        <f>IF($H$34&gt;$F$34,1,0)+IF($F$36&gt;$H$36,1,0)</f>
        <v>0</v>
      </c>
      <c r="R48" s="53">
        <f>IF($H$34&lt;$F$34,1,0)+IF($F$36&lt;$H$36,1,0)</f>
        <v>1</v>
      </c>
      <c r="S48" s="54">
        <f>IF(ISNUMBER($H$34)=TRUE,IF($H$34=$F$34,1,0),0)+IF(ISNUMBER($H$36)=TRUE,IF($F$36=$H$36,1,0))</f>
        <v>1</v>
      </c>
      <c r="T48" s="39"/>
      <c r="U48" s="55" t="s">
        <v>46</v>
      </c>
      <c r="V48" s="85" t="str">
        <f t="array" ref="V48">IF(ISNUMBER($F$45)=TRUE,INDEX($L$47:$L$49, MATCH(LARGE($M$47:$M$49 + ($N$47:$N$49)/100 + ($O$47:$O$49)/1000, ROWS($Y$2:Y3)), $M$47:$M$49 + ($N$47:$N$49)/100 + ($O$47:$O$49)/1000, 0)), "2. Y")</f>
        <v>KCRJ</v>
      </c>
      <c r="W48" s="4"/>
      <c r="X48" s="4"/>
      <c r="Y48" s="4"/>
      <c r="Z48" s="4"/>
      <c r="AA48" s="4"/>
    </row>
    <row r="49" ht="15.75" customHeight="1">
      <c r="A49" s="31"/>
      <c r="B49" s="40">
        <v>35.0</v>
      </c>
      <c r="C49" s="41" t="s">
        <v>93</v>
      </c>
      <c r="D49" s="42" t="s">
        <v>94</v>
      </c>
      <c r="E49" s="42" t="str">
        <f>IF(ISNUMBER($F$40)=TRUE,IF($F40&lt;$H40,$E40,$I40), "Loser 26 (QF1)")</f>
        <v>Paris KPC</v>
      </c>
      <c r="F49" s="42">
        <v>4.0</v>
      </c>
      <c r="G49" s="42" t="s">
        <v>30</v>
      </c>
      <c r="H49" s="42">
        <v>2.0</v>
      </c>
      <c r="I49" s="42" t="str">
        <f>IF(ISNUMBER($F$41)=TRUE,IF($F41&lt;$H401,$E41,$I41), "Loser 27 (QF2)")</f>
        <v>TWF</v>
      </c>
      <c r="J49" s="43" t="str">
        <f>IF(ISNUMBER($F$43)=TRUE,IF($F43&gt;$H43,$E43,$I43), "Winner 29 (QF4)")</f>
        <v>KRM Essen</v>
      </c>
      <c r="K49" s="4"/>
      <c r="L49" s="58" t="str">
        <f>IF(ISNUMBER($F$32)=TRUE,IF($F32&lt;$H32,$E32,$I32), "Loser 21 (G)")</f>
        <v>KCRJ</v>
      </c>
      <c r="M49" s="59">
        <f t="shared" si="20"/>
        <v>3</v>
      </c>
      <c r="N49" s="59">
        <f t="shared" si="21"/>
        <v>0</v>
      </c>
      <c r="O49" s="59">
        <f>SUM(H36,F45)</f>
        <v>7</v>
      </c>
      <c r="P49" s="59">
        <f>SUM(F36,H45)</f>
        <v>7</v>
      </c>
      <c r="Q49" s="59">
        <f>IF($H$36&gt;$F$36,1,0)+IF($F$45&gt;$H$45,1,0)</f>
        <v>1</v>
      </c>
      <c r="R49" s="59">
        <f>IF($H$36&lt;$F$36,1,0)+IF($F$45&lt;$H$45,1,0)</f>
        <v>1</v>
      </c>
      <c r="S49" s="61">
        <f>IF(ISNUMBER($H$36)=TRUE,IF($H$36=$F$36,1,0),0)+IF(ISNUMBER($H$45)=TRUE,IF($F$45=$H$45,1,0))</f>
        <v>0</v>
      </c>
      <c r="T49" s="38"/>
      <c r="U49" s="55" t="s">
        <v>48</v>
      </c>
      <c r="V49" s="86" t="str">
        <f t="array" ref="V49">IF(ISNUMBER($F$45)=TRUE,INDEX($L$47:$L$49, MATCH(LARGE($M$47:$M$49 + ($N$47:$N$49)/100 + ($O$47:$O$49)/1000, ROWS($Y$2:Y4)), $M$47:$M$49 + ($N$47:$N$49)/100 + ($O$47:$O$49)/1000, 0)), "3. Y")</f>
        <v>Kanupolo Zürich</v>
      </c>
      <c r="W49" s="4"/>
      <c r="X49" s="4"/>
      <c r="Y49" s="4"/>
      <c r="Z49" s="4"/>
      <c r="AA49" s="4"/>
    </row>
    <row r="50" ht="15.75" customHeight="1">
      <c r="A50" s="31"/>
      <c r="B50" s="40">
        <v>36.0</v>
      </c>
      <c r="C50" s="41" t="s">
        <v>95</v>
      </c>
      <c r="D50" s="41" t="s">
        <v>96</v>
      </c>
      <c r="E50" s="42" t="str">
        <f>V44</f>
        <v>Viking Venlo</v>
      </c>
      <c r="F50" s="42">
        <v>8.0</v>
      </c>
      <c r="G50" s="42" t="s">
        <v>30</v>
      </c>
      <c r="H50" s="42">
        <v>4.0</v>
      </c>
      <c r="I50" s="42" t="str">
        <f>V49</f>
        <v>Kanupolo Zürich</v>
      </c>
      <c r="J50" s="68" t="str">
        <f t="shared" ref="J50:J51" si="22">V25</f>
        <v>Kayak Polo Málaga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31"/>
      <c r="B51" s="40">
        <v>37.0</v>
      </c>
      <c r="C51" s="41" t="s">
        <v>97</v>
      </c>
      <c r="D51" s="41" t="s">
        <v>98</v>
      </c>
      <c r="E51" s="42" t="str">
        <f>V43</f>
        <v>RCN Castellón</v>
      </c>
      <c r="F51" s="42">
        <v>8.0</v>
      </c>
      <c r="G51" s="42" t="s">
        <v>30</v>
      </c>
      <c r="H51" s="42">
        <v>3.0</v>
      </c>
      <c r="I51" s="42" t="str">
        <f>V48</f>
        <v>KCRJ</v>
      </c>
      <c r="J51" s="68" t="str">
        <f t="shared" si="22"/>
        <v>KRM Essen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31"/>
      <c r="B52" s="40">
        <v>38.0</v>
      </c>
      <c r="C52" s="41" t="s">
        <v>99</v>
      </c>
      <c r="D52" s="41" t="s">
        <v>100</v>
      </c>
      <c r="E52" s="42" t="str">
        <f>V42</f>
        <v>KSVH Berlin</v>
      </c>
      <c r="F52" s="42">
        <v>3.0</v>
      </c>
      <c r="G52" s="42" t="s">
        <v>30</v>
      </c>
      <c r="H52" s="42">
        <v>2.0</v>
      </c>
      <c r="I52" s="42" t="str">
        <f>V47</f>
        <v>Montpellier MCK</v>
      </c>
      <c r="J52" s="68" t="str">
        <f>V20</f>
        <v>AKV Odysseus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31"/>
      <c r="B53" s="40">
        <v>39.0</v>
      </c>
      <c r="C53" s="41" t="s">
        <v>101</v>
      </c>
      <c r="D53" s="41" t="s">
        <v>102</v>
      </c>
      <c r="E53" s="42" t="str">
        <f>IF(ISNUMBER($F$49)=TRUE,IF($F49&lt;$H49,$E49,$I49), "Loser 35 (H1)")</f>
        <v>TWF</v>
      </c>
      <c r="F53" s="42">
        <v>3.0</v>
      </c>
      <c r="G53" s="42" t="s">
        <v>30</v>
      </c>
      <c r="H53" s="42">
        <v>8.0</v>
      </c>
      <c r="I53" s="42" t="str">
        <f>IF(ISNUMBER($F$48)=TRUE,IF($F48&lt;$H48,$E48,$I48), "Loser 34 (H2)")</f>
        <v>Avranches</v>
      </c>
      <c r="J53" s="68" t="str">
        <f>IF(ISNUMBER($F$50)=TRUE,IF($F50&lt;$H50,$E50,$I50), "Loser 36")</f>
        <v>Kanupolo Zürich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31"/>
      <c r="B54" s="40">
        <v>40.0</v>
      </c>
      <c r="C54" s="41" t="s">
        <v>103</v>
      </c>
      <c r="D54" s="41" t="s">
        <v>104</v>
      </c>
      <c r="E54" s="42" t="str">
        <f>IF(ISNUMBER($F$49)=TRUE,IF($F49&gt;$H49,$E49,$I49), "Winner 35 (H1)")</f>
        <v>Paris KPC</v>
      </c>
      <c r="F54" s="42">
        <v>3.0</v>
      </c>
      <c r="G54" s="42" t="s">
        <v>30</v>
      </c>
      <c r="H54" s="42">
        <v>4.0</v>
      </c>
      <c r="I54" s="42" t="str">
        <f>IF(ISNUMBER($F$48)=TRUE,IF($F48&gt;$H48,$E48,$I48), "Winner 34 (H2)")</f>
        <v>Pro Scogli Chiavari</v>
      </c>
      <c r="J54" s="68" t="str">
        <f>IF(ISNUMBER($F$51)=TRUE,IF($F51&lt;$H51,$E51,$I51), "Loser 37")</f>
        <v>KCRJ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31"/>
      <c r="B55" s="40">
        <v>41.0</v>
      </c>
      <c r="C55" s="41" t="s">
        <v>105</v>
      </c>
      <c r="D55" s="41" t="s">
        <v>106</v>
      </c>
      <c r="E55" s="42" t="str">
        <f>IF(ISNUMBER($F$46)=TRUE,IF($F46&lt;$H46,$E46,$I46), "Loser 32 (SF1)")</f>
        <v>KGW Essen</v>
      </c>
      <c r="F55" s="42">
        <v>4.0</v>
      </c>
      <c r="G55" s="42" t="s">
        <v>30</v>
      </c>
      <c r="H55" s="42">
        <v>5.0</v>
      </c>
      <c r="I55" s="42" t="str">
        <f>IF(ISNUMBER($F$47)=TRUE,IF($F47&lt;$H47,$E47,$I47), "Loser 33 (SF2)")</f>
        <v>KRM Essen</v>
      </c>
      <c r="J55" s="68" t="str">
        <f>IF(ISNUMBER($F$41)=TRUE,IF($F41&lt;$H401,$E41,$I41), "Loser 27 (QF2)")</f>
        <v>TWF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31"/>
      <c r="B56" s="78">
        <v>42.0</v>
      </c>
      <c r="C56" s="79" t="s">
        <v>107</v>
      </c>
      <c r="D56" s="79" t="s">
        <v>108</v>
      </c>
      <c r="E56" s="80" t="str">
        <f>IF(ISNUMBER($F$46)=TRUE,IF($F46&gt;$H46,$E46,$I46), "Winner 32 (SF1)")</f>
        <v>Kayak Polo Málaga</v>
      </c>
      <c r="F56" s="80">
        <v>4.0</v>
      </c>
      <c r="G56" s="80" t="s">
        <v>30</v>
      </c>
      <c r="H56" s="80">
        <v>5.0</v>
      </c>
      <c r="I56" s="80" t="str">
        <f>IF(ISNUMBER($F$47)=TRUE,IF($F47&gt;$H47,$E47,$I47), "Winner 33 (SF2)")</f>
        <v>AKV Odysseus</v>
      </c>
      <c r="J56" s="91" t="str">
        <f>IF(ISNUMBER($F$43)=TRUE,IF($F43&lt;$H43,$E43,$I43), "Loser 29 (QF4)")</f>
        <v>Avranches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27.0" customHeight="1">
      <c r="A58" s="4"/>
      <c r="B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ht="15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ht="15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ht="15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</sheetData>
  <mergeCells count="11">
    <mergeCell ref="B10:J10"/>
    <mergeCell ref="B38:J38"/>
    <mergeCell ref="L39:V39"/>
    <mergeCell ref="B58:J58"/>
    <mergeCell ref="B1:J1"/>
    <mergeCell ref="B2:J2"/>
    <mergeCell ref="C4:D4"/>
    <mergeCell ref="C5:D5"/>
    <mergeCell ref="C6:D6"/>
    <mergeCell ref="C7:D7"/>
    <mergeCell ref="L11:V11"/>
  </mergeCells>
  <printOptions horizontalCentered="1"/>
  <pageMargins bottom="0.10171180272061776" footer="0.0" header="0.0" left="0.0" right="0.0" top="0.0"/>
  <pageSetup fitToWidth="0" paperSize="9" orientation="portrait" pageOrder="overThenDown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5.22"/>
    <col customWidth="1" min="2" max="2" width="3.67"/>
    <col customWidth="1" min="3" max="3" width="14.33"/>
    <col customWidth="1" min="4" max="4" width="3.67"/>
    <col customWidth="1" min="5" max="5" width="5.78"/>
    <col customWidth="1" min="6" max="6" width="3.67"/>
    <col customWidth="1" min="7" max="7" width="14.33"/>
    <col customWidth="1" min="8" max="8" width="3.67"/>
    <col customWidth="1" min="9" max="9" width="6.44"/>
    <col customWidth="1" min="10" max="10" width="3.67"/>
    <col customWidth="1" min="11" max="11" width="14.33"/>
    <col customWidth="1" min="12" max="12" width="3.67"/>
    <col customWidth="1" min="13" max="13" width="14.33"/>
    <col customWidth="1" min="14" max="14" width="3.67"/>
    <col customWidth="1" min="15" max="15" width="14.33"/>
    <col customWidth="1" min="16" max="16" width="3.67"/>
  </cols>
  <sheetData>
    <row r="1">
      <c r="A1" s="6"/>
      <c r="B1" s="19" t="s">
        <v>109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A2" s="6"/>
      <c r="B2" s="19"/>
      <c r="C2" s="19"/>
      <c r="D2" s="19"/>
      <c r="E2" s="92"/>
      <c r="F2" s="92"/>
      <c r="G2" s="19"/>
      <c r="H2" s="19"/>
      <c r="I2" s="92"/>
      <c r="J2" s="93"/>
      <c r="K2" s="93"/>
      <c r="L2" s="4"/>
      <c r="M2" s="19"/>
      <c r="N2" s="4"/>
      <c r="O2" s="1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>
      <c r="A3" s="6"/>
      <c r="B3" s="6"/>
      <c r="C3" s="6"/>
      <c r="D3" s="6"/>
      <c r="E3" s="4"/>
      <c r="F3" s="4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24.0" customHeight="1">
      <c r="A4" s="6"/>
      <c r="B4" s="94"/>
      <c r="C4" s="95" t="s">
        <v>26</v>
      </c>
      <c r="D4" s="96"/>
      <c r="E4" s="2" t="s">
        <v>110</v>
      </c>
      <c r="F4" s="97"/>
      <c r="G4" s="98" t="s">
        <v>111</v>
      </c>
      <c r="H4" s="99"/>
      <c r="I4" s="2" t="s">
        <v>110</v>
      </c>
      <c r="J4" s="100"/>
      <c r="K4" s="101"/>
      <c r="L4" s="102"/>
      <c r="M4" s="98" t="s">
        <v>112</v>
      </c>
      <c r="N4" s="102"/>
      <c r="O4" s="102"/>
      <c r="P4" s="10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>
      <c r="A5" s="6"/>
      <c r="B5" s="104"/>
      <c r="C5" s="105"/>
      <c r="D5" s="106"/>
      <c r="F5" s="107"/>
      <c r="G5" s="108"/>
      <c r="H5" s="109"/>
      <c r="J5" s="110"/>
      <c r="K5" s="108"/>
      <c r="L5" s="111"/>
      <c r="M5" s="112"/>
      <c r="N5" s="112"/>
      <c r="O5" s="112"/>
      <c r="P5" s="11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>
      <c r="A6" s="6"/>
      <c r="B6" s="104"/>
      <c r="C6" s="114" t="s">
        <v>1</v>
      </c>
      <c r="D6" s="106"/>
      <c r="F6" s="107"/>
      <c r="G6" s="115" t="s">
        <v>113</v>
      </c>
      <c r="H6" s="109"/>
      <c r="J6" s="110"/>
      <c r="K6" s="115" t="s">
        <v>78</v>
      </c>
      <c r="L6" s="111"/>
      <c r="M6" s="112"/>
      <c r="N6" s="112"/>
      <c r="O6" s="112"/>
      <c r="P6" s="11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>
      <c r="A7" s="50"/>
      <c r="B7" s="116"/>
      <c r="C7" s="117" t="s">
        <v>5</v>
      </c>
      <c r="D7" s="118"/>
      <c r="F7" s="107"/>
      <c r="G7" s="119" t="s">
        <v>114</v>
      </c>
      <c r="H7" s="120"/>
      <c r="J7" s="121"/>
      <c r="K7" s="119" t="s">
        <v>115</v>
      </c>
      <c r="L7" s="111"/>
      <c r="M7" s="112"/>
      <c r="N7" s="112"/>
      <c r="O7" s="112"/>
      <c r="P7" s="11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>
      <c r="A8" s="50"/>
      <c r="B8" s="116"/>
      <c r="C8" s="122" t="s">
        <v>9</v>
      </c>
      <c r="D8" s="118"/>
      <c r="F8" s="107"/>
      <c r="G8" s="123"/>
      <c r="H8" s="120"/>
      <c r="J8" s="121"/>
      <c r="K8" s="123"/>
      <c r="L8" s="111"/>
      <c r="M8" s="112"/>
      <c r="N8" s="112"/>
      <c r="O8" s="112"/>
      <c r="P8" s="11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>
      <c r="A9" s="50"/>
      <c r="B9" s="116"/>
      <c r="C9" s="124" t="s">
        <v>13</v>
      </c>
      <c r="D9" s="118"/>
      <c r="F9" s="107"/>
      <c r="G9" s="115" t="s">
        <v>116</v>
      </c>
      <c r="H9" s="109"/>
      <c r="J9" s="110"/>
      <c r="K9" s="115" t="s">
        <v>80</v>
      </c>
      <c r="L9" s="111"/>
      <c r="M9" s="114" t="s">
        <v>88</v>
      </c>
      <c r="N9" s="112"/>
      <c r="O9" s="112"/>
      <c r="P9" s="11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>
      <c r="A10" s="5"/>
      <c r="B10" s="125"/>
      <c r="C10" s="126"/>
      <c r="D10" s="127"/>
      <c r="F10" s="107"/>
      <c r="G10" s="119" t="s">
        <v>117</v>
      </c>
      <c r="H10" s="120"/>
      <c r="J10" s="121"/>
      <c r="K10" s="119" t="s">
        <v>118</v>
      </c>
      <c r="L10" s="111"/>
      <c r="M10" s="128" t="s">
        <v>119</v>
      </c>
      <c r="N10" s="112"/>
      <c r="O10" s="129" t="s">
        <v>120</v>
      </c>
      <c r="P10" s="11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>
      <c r="A11" s="6"/>
      <c r="B11" s="104"/>
      <c r="C11" s="114" t="s">
        <v>2</v>
      </c>
      <c r="D11" s="106"/>
      <c r="F11" s="107"/>
      <c r="G11" s="112"/>
      <c r="H11" s="113"/>
      <c r="J11" s="130"/>
      <c r="K11" s="111"/>
      <c r="L11" s="111"/>
      <c r="M11" s="112"/>
      <c r="N11" s="112"/>
      <c r="O11" s="131"/>
      <c r="P11" s="11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>
      <c r="A12" s="50"/>
      <c r="B12" s="116"/>
      <c r="C12" s="117" t="s">
        <v>6</v>
      </c>
      <c r="D12" s="118"/>
      <c r="F12" s="107"/>
      <c r="G12" s="115" t="s">
        <v>121</v>
      </c>
      <c r="H12" s="109"/>
      <c r="J12" s="110"/>
      <c r="K12" s="115" t="s">
        <v>82</v>
      </c>
      <c r="L12" s="111"/>
      <c r="M12" s="114" t="s">
        <v>90</v>
      </c>
      <c r="N12" s="112"/>
      <c r="O12" s="132" t="s">
        <v>122</v>
      </c>
      <c r="P12" s="113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>
      <c r="A13" s="50"/>
      <c r="B13" s="116"/>
      <c r="C13" s="122" t="s">
        <v>10</v>
      </c>
      <c r="D13" s="118"/>
      <c r="F13" s="107"/>
      <c r="G13" s="133" t="s">
        <v>123</v>
      </c>
      <c r="H13" s="134"/>
      <c r="J13" s="135"/>
      <c r="K13" s="133" t="s">
        <v>124</v>
      </c>
      <c r="L13" s="111"/>
      <c r="M13" s="128" t="s">
        <v>125</v>
      </c>
      <c r="N13" s="112"/>
      <c r="O13" s="112"/>
      <c r="P13" s="11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>
      <c r="A14" s="50"/>
      <c r="B14" s="116"/>
      <c r="C14" s="122" t="s">
        <v>14</v>
      </c>
      <c r="D14" s="118"/>
      <c r="F14" s="136"/>
      <c r="G14" s="137"/>
      <c r="H14" s="138"/>
      <c r="J14" s="130"/>
      <c r="K14" s="111"/>
      <c r="L14" s="111"/>
      <c r="M14" s="112"/>
      <c r="N14" s="112"/>
      <c r="O14" s="129" t="s">
        <v>106</v>
      </c>
      <c r="P14" s="113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>
      <c r="A15" s="50"/>
      <c r="B15" s="116"/>
      <c r="C15" s="124" t="s">
        <v>17</v>
      </c>
      <c r="D15" s="118"/>
      <c r="E15" s="4"/>
      <c r="F15" s="4"/>
      <c r="G15" s="39"/>
      <c r="H15" s="39"/>
      <c r="J15" s="110"/>
      <c r="K15" s="115" t="s">
        <v>84</v>
      </c>
      <c r="L15" s="111"/>
      <c r="M15" s="112"/>
      <c r="N15" s="112"/>
      <c r="O15" s="131"/>
      <c r="P15" s="113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>
      <c r="A16" s="4"/>
      <c r="B16" s="107"/>
      <c r="C16" s="112"/>
      <c r="D16" s="113"/>
      <c r="E16" s="4"/>
      <c r="F16" s="4"/>
      <c r="G16" s="39"/>
      <c r="H16" s="39"/>
      <c r="J16" s="135"/>
      <c r="K16" s="133" t="s">
        <v>126</v>
      </c>
      <c r="L16" s="111"/>
      <c r="M16" s="112"/>
      <c r="N16" s="112"/>
      <c r="O16" s="132" t="s">
        <v>127</v>
      </c>
      <c r="P16" s="113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>
      <c r="A17" s="6"/>
      <c r="B17" s="104"/>
      <c r="C17" s="114" t="s">
        <v>3</v>
      </c>
      <c r="D17" s="106"/>
      <c r="E17" s="4"/>
      <c r="F17" s="4"/>
      <c r="G17" s="39"/>
      <c r="H17" s="39"/>
      <c r="J17" s="130"/>
      <c r="K17" s="111"/>
      <c r="L17" s="111"/>
      <c r="M17" s="112"/>
      <c r="N17" s="112"/>
      <c r="O17" s="112"/>
      <c r="P17" s="113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>
      <c r="A18" s="50"/>
      <c r="B18" s="116"/>
      <c r="C18" s="117" t="s">
        <v>7</v>
      </c>
      <c r="D18" s="118"/>
      <c r="E18" s="4"/>
      <c r="F18" s="4"/>
      <c r="G18" s="39"/>
      <c r="H18" s="39"/>
      <c r="J18" s="130"/>
      <c r="K18" s="111"/>
      <c r="L18" s="111"/>
      <c r="M18" s="112"/>
      <c r="N18" s="112"/>
      <c r="O18" s="112"/>
      <c r="P18" s="113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>
      <c r="A19" s="50"/>
      <c r="B19" s="116"/>
      <c r="C19" s="122" t="s">
        <v>11</v>
      </c>
      <c r="D19" s="118"/>
      <c r="E19" s="4"/>
      <c r="F19" s="4"/>
      <c r="G19" s="39"/>
      <c r="H19" s="39"/>
      <c r="J19" s="130"/>
      <c r="K19" s="111"/>
      <c r="L19" s="111"/>
      <c r="M19" s="112"/>
      <c r="N19" s="112"/>
      <c r="O19" s="112"/>
      <c r="P19" s="113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>
      <c r="A20" s="50"/>
      <c r="B20" s="116"/>
      <c r="C20" s="122" t="s">
        <v>15</v>
      </c>
      <c r="D20" s="118"/>
      <c r="E20" s="4"/>
      <c r="F20" s="4"/>
      <c r="G20" s="4"/>
      <c r="H20" s="4"/>
      <c r="J20" s="107"/>
      <c r="K20" s="112"/>
      <c r="L20" s="112"/>
      <c r="M20" s="114" t="s">
        <v>128</v>
      </c>
      <c r="N20" s="112"/>
      <c r="O20" s="112"/>
      <c r="P20" s="11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>
      <c r="A21" s="50"/>
      <c r="B21" s="116"/>
      <c r="C21" s="124" t="s">
        <v>18</v>
      </c>
      <c r="D21" s="118"/>
      <c r="E21" s="4"/>
      <c r="F21" s="4"/>
      <c r="G21" s="4"/>
      <c r="H21" s="4"/>
      <c r="J21" s="107"/>
      <c r="K21" s="112"/>
      <c r="L21" s="112"/>
      <c r="M21" s="132" t="s">
        <v>129</v>
      </c>
      <c r="N21" s="112"/>
      <c r="O21" s="139" t="s">
        <v>130</v>
      </c>
      <c r="P21" s="113"/>
      <c r="Q21" s="14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>
      <c r="A22" s="4"/>
      <c r="B22" s="107"/>
      <c r="C22" s="112"/>
      <c r="D22" s="113"/>
      <c r="E22" s="4"/>
      <c r="F22" s="4"/>
      <c r="G22" s="4"/>
      <c r="H22" s="4"/>
      <c r="J22" s="107"/>
      <c r="K22" s="112"/>
      <c r="L22" s="112"/>
      <c r="M22" s="112"/>
      <c r="N22" s="112"/>
      <c r="O22" s="131"/>
      <c r="P22" s="1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>
      <c r="A23" s="6"/>
      <c r="B23" s="104"/>
      <c r="C23" s="114" t="s">
        <v>4</v>
      </c>
      <c r="D23" s="106"/>
      <c r="E23" s="4"/>
      <c r="F23" s="4"/>
      <c r="G23" s="4"/>
      <c r="H23" s="4"/>
      <c r="J23" s="107"/>
      <c r="K23" s="112"/>
      <c r="L23" s="112"/>
      <c r="M23" s="114" t="s">
        <v>131</v>
      </c>
      <c r="N23" s="112"/>
      <c r="O23" s="132" t="s">
        <v>132</v>
      </c>
      <c r="P23" s="113"/>
      <c r="Q23" s="140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>
      <c r="A24" s="50"/>
      <c r="B24" s="116"/>
      <c r="C24" s="117" t="s">
        <v>8</v>
      </c>
      <c r="D24" s="118"/>
      <c r="E24" s="4"/>
      <c r="F24" s="4"/>
      <c r="G24" s="4"/>
      <c r="H24" s="4"/>
      <c r="J24" s="107"/>
      <c r="K24" s="112"/>
      <c r="L24" s="112"/>
      <c r="M24" s="132" t="s">
        <v>129</v>
      </c>
      <c r="N24" s="112"/>
      <c r="O24" s="112"/>
      <c r="P24" s="11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>
      <c r="A25" s="50"/>
      <c r="B25" s="116"/>
      <c r="C25" s="122" t="s">
        <v>12</v>
      </c>
      <c r="D25" s="118"/>
      <c r="E25" s="4"/>
      <c r="F25" s="4"/>
      <c r="G25" s="4"/>
      <c r="H25" s="4"/>
      <c r="J25" s="107"/>
      <c r="K25" s="112"/>
      <c r="L25" s="112"/>
      <c r="M25" s="112"/>
      <c r="N25" s="112"/>
      <c r="O25" s="139" t="s">
        <v>133</v>
      </c>
      <c r="P25" s="113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>
      <c r="A26" s="50"/>
      <c r="B26" s="116"/>
      <c r="C26" s="124" t="s">
        <v>16</v>
      </c>
      <c r="D26" s="118"/>
      <c r="E26" s="4"/>
      <c r="F26" s="4"/>
      <c r="G26" s="4"/>
      <c r="H26" s="4"/>
      <c r="J26" s="107"/>
      <c r="K26" s="112"/>
      <c r="L26" s="112"/>
      <c r="M26" s="112"/>
      <c r="N26" s="112"/>
      <c r="O26" s="131"/>
      <c r="P26" s="113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>
      <c r="A27" s="50"/>
      <c r="B27" s="141"/>
      <c r="C27" s="142"/>
      <c r="D27" s="143"/>
      <c r="E27" s="4"/>
      <c r="F27" s="4"/>
      <c r="G27" s="4"/>
      <c r="H27" s="4"/>
      <c r="J27" s="107"/>
      <c r="K27" s="112"/>
      <c r="L27" s="112"/>
      <c r="M27" s="112"/>
      <c r="N27" s="112"/>
      <c r="O27" s="132" t="s">
        <v>134</v>
      </c>
      <c r="P27" s="113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ht="24.0" customHeight="1">
      <c r="A28" s="4"/>
      <c r="B28" s="4"/>
      <c r="C28" s="4"/>
      <c r="D28" s="4"/>
      <c r="E28" s="4"/>
      <c r="F28" s="4"/>
      <c r="G28" s="4"/>
      <c r="H28" s="4"/>
      <c r="J28" s="136"/>
      <c r="K28" s="144"/>
      <c r="L28" s="144"/>
      <c r="M28" s="144"/>
      <c r="N28" s="144"/>
      <c r="O28" s="144"/>
      <c r="P28" s="14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ht="24.0" customHeight="1">
      <c r="A30" s="4"/>
      <c r="B30" s="4"/>
      <c r="C30" s="4"/>
      <c r="D30" s="4"/>
      <c r="E30" s="4"/>
      <c r="F30" s="4"/>
      <c r="G30" s="4"/>
      <c r="H30" s="4"/>
      <c r="I30" s="2" t="s">
        <v>110</v>
      </c>
      <c r="J30" s="97"/>
      <c r="K30" s="102"/>
      <c r="L30" s="102"/>
      <c r="M30" s="146" t="s">
        <v>135</v>
      </c>
      <c r="N30" s="102"/>
      <c r="O30" s="102"/>
      <c r="P30" s="10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>
      <c r="A31" s="4"/>
      <c r="B31" s="4"/>
      <c r="C31" s="4"/>
      <c r="D31" s="4"/>
      <c r="E31" s="4"/>
      <c r="F31" s="4"/>
      <c r="G31" s="4"/>
      <c r="H31" s="4"/>
      <c r="J31" s="107"/>
      <c r="K31" s="114" t="s">
        <v>136</v>
      </c>
      <c r="L31" s="112"/>
      <c r="M31" s="112"/>
      <c r="N31" s="112"/>
      <c r="O31" s="139" t="s">
        <v>137</v>
      </c>
      <c r="P31" s="113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>
      <c r="A32" s="4"/>
      <c r="B32" s="4"/>
      <c r="C32" s="4"/>
      <c r="D32" s="4"/>
      <c r="E32" s="4"/>
      <c r="F32" s="4"/>
      <c r="G32" s="4"/>
      <c r="H32" s="4"/>
      <c r="J32" s="107"/>
      <c r="K32" s="147" t="s">
        <v>138</v>
      </c>
      <c r="L32" s="112"/>
      <c r="M32" s="112"/>
      <c r="N32" s="112"/>
      <c r="O32" s="131"/>
      <c r="P32" s="113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>
      <c r="A33" s="4"/>
      <c r="B33" s="4"/>
      <c r="C33" s="4"/>
      <c r="D33" s="4"/>
      <c r="E33" s="4"/>
      <c r="F33" s="4"/>
      <c r="G33" s="4"/>
      <c r="H33" s="4"/>
      <c r="J33" s="107"/>
      <c r="K33" s="147" t="s">
        <v>139</v>
      </c>
      <c r="L33" s="112"/>
      <c r="M33" s="112"/>
      <c r="N33" s="112"/>
      <c r="O33" s="132" t="s">
        <v>140</v>
      </c>
      <c r="P33" s="11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>
      <c r="A34" s="4"/>
      <c r="B34" s="4"/>
      <c r="C34" s="4"/>
      <c r="D34" s="4"/>
      <c r="E34" s="4"/>
      <c r="F34" s="4"/>
      <c r="G34" s="4"/>
      <c r="H34" s="4"/>
      <c r="J34" s="107"/>
      <c r="K34" s="148" t="s">
        <v>141</v>
      </c>
      <c r="L34" s="112"/>
      <c r="M34" s="112"/>
      <c r="N34" s="112"/>
      <c r="O34" s="112"/>
      <c r="P34" s="113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>
      <c r="A35" s="4"/>
      <c r="B35" s="4"/>
      <c r="C35" s="4"/>
      <c r="D35" s="4"/>
      <c r="E35" s="4"/>
      <c r="F35" s="4"/>
      <c r="G35" s="4"/>
      <c r="H35" s="4"/>
      <c r="J35" s="107"/>
      <c r="K35" s="112"/>
      <c r="L35" s="112"/>
      <c r="M35" s="112"/>
      <c r="N35" s="112"/>
      <c r="O35" s="139" t="s">
        <v>142</v>
      </c>
      <c r="P35" s="113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>
      <c r="A36" s="4"/>
      <c r="B36" s="4"/>
      <c r="C36" s="4"/>
      <c r="D36" s="4"/>
      <c r="E36" s="4"/>
      <c r="F36" s="4"/>
      <c r="G36" s="4"/>
      <c r="H36" s="4"/>
      <c r="J36" s="107"/>
      <c r="K36" s="112"/>
      <c r="L36" s="112"/>
      <c r="M36" s="112"/>
      <c r="N36" s="112"/>
      <c r="O36" s="131"/>
      <c r="P36" s="11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>
      <c r="A37" s="4"/>
      <c r="B37" s="4"/>
      <c r="C37" s="4"/>
      <c r="D37" s="4"/>
      <c r="E37" s="4"/>
      <c r="F37" s="4"/>
      <c r="G37" s="4"/>
      <c r="H37" s="4"/>
      <c r="J37" s="107"/>
      <c r="K37" s="114" t="s">
        <v>143</v>
      </c>
      <c r="L37" s="112"/>
      <c r="M37" s="112"/>
      <c r="N37" s="112"/>
      <c r="O37" s="132" t="s">
        <v>144</v>
      </c>
      <c r="P37" s="11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>
      <c r="A38" s="4"/>
      <c r="B38" s="4"/>
      <c r="C38" s="4"/>
      <c r="D38" s="4"/>
      <c r="E38" s="4"/>
      <c r="F38" s="4"/>
      <c r="G38" s="4"/>
      <c r="H38" s="4"/>
      <c r="J38" s="107"/>
      <c r="K38" s="147" t="s">
        <v>145</v>
      </c>
      <c r="L38" s="112"/>
      <c r="M38" s="112"/>
      <c r="N38" s="112"/>
      <c r="O38" s="112"/>
      <c r="P38" s="113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>
      <c r="A39" s="4"/>
      <c r="B39" s="4"/>
      <c r="C39" s="4"/>
      <c r="D39" s="4"/>
      <c r="E39" s="4"/>
      <c r="F39" s="4"/>
      <c r="G39" s="4"/>
      <c r="H39" s="4"/>
      <c r="J39" s="107"/>
      <c r="K39" s="147" t="s">
        <v>146</v>
      </c>
      <c r="L39" s="112"/>
      <c r="M39" s="112"/>
      <c r="N39" s="112"/>
      <c r="O39" s="139" t="s">
        <v>147</v>
      </c>
      <c r="P39" s="11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>
      <c r="A40" s="4"/>
      <c r="B40" s="4"/>
      <c r="C40" s="4"/>
      <c r="D40" s="4"/>
      <c r="E40" s="4"/>
      <c r="F40" s="4"/>
      <c r="G40" s="4"/>
      <c r="H40" s="4"/>
      <c r="J40" s="107"/>
      <c r="K40" s="148" t="s">
        <v>148</v>
      </c>
      <c r="L40" s="112"/>
      <c r="M40" s="112"/>
      <c r="N40" s="112"/>
      <c r="O40" s="131"/>
      <c r="P40" s="11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>
      <c r="A41" s="4"/>
      <c r="B41" s="4"/>
      <c r="C41" s="4"/>
      <c r="D41" s="4"/>
      <c r="E41" s="4"/>
      <c r="F41" s="4"/>
      <c r="G41" s="4"/>
      <c r="H41" s="4"/>
      <c r="J41" s="107"/>
      <c r="K41" s="112"/>
      <c r="L41" s="112"/>
      <c r="M41" s="112"/>
      <c r="N41" s="112"/>
      <c r="O41" s="132" t="s">
        <v>149</v>
      </c>
      <c r="P41" s="11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ht="24.0" customHeight="1">
      <c r="A42" s="4"/>
      <c r="B42" s="4"/>
      <c r="C42" s="4"/>
      <c r="D42" s="4"/>
      <c r="E42" s="4"/>
      <c r="F42" s="4"/>
      <c r="G42" s="4"/>
      <c r="H42" s="4"/>
      <c r="J42" s="149"/>
      <c r="K42" s="150"/>
      <c r="L42" s="144"/>
      <c r="M42" s="144"/>
      <c r="N42" s="144"/>
      <c r="O42" s="144"/>
      <c r="P42" s="145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ht="27.0" customHeight="1">
      <c r="A45" s="4"/>
      <c r="B45" s="151" t="s">
        <v>150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51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5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5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5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5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</row>
  </sheetData>
  <mergeCells count="12">
    <mergeCell ref="O25:O26"/>
    <mergeCell ref="O31:O32"/>
    <mergeCell ref="O35:O36"/>
    <mergeCell ref="O39:O40"/>
    <mergeCell ref="B1:P1"/>
    <mergeCell ref="E4:E14"/>
    <mergeCell ref="I4:I28"/>
    <mergeCell ref="O10:O11"/>
    <mergeCell ref="O14:O15"/>
    <mergeCell ref="O21:O22"/>
    <mergeCell ref="I30:I42"/>
    <mergeCell ref="B45:P45"/>
  </mergeCells>
  <printOptions horizontalCentered="1"/>
  <pageMargins bottom="0.75" footer="0.0" header="0.0" left="0.25" right="0.25" top="0.75"/>
  <pageSetup fitToHeight="0" paperSize="9" orientation="portrait" pageOrder="overThenDown"/>
  <drawing r:id="rId1"/>
</worksheet>
</file>